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13_ncr:1_{57E5DEBD-A880-4AC9-B06F-07A7D3595784}" xr6:coauthVersionLast="47" xr6:coauthVersionMax="47" xr10:uidLastSave="{00000000-0000-0000-0000-000000000000}"/>
  <bookViews>
    <workbookView xWindow="-108" yWindow="-108" windowWidth="23256" windowHeight="12720" xr2:uid="{157800BD-48B2-42AA-9248-D272A9FCB952}"/>
  </bookViews>
  <sheets>
    <sheet name="14" sheetId="1" r:id="rId1"/>
  </sheets>
  <externalReferences>
    <externalReference r:id="rId2"/>
  </externalReferences>
  <definedNames>
    <definedName name="newbasicPB4">[1]Sheet1!$T$4:$T$37</definedName>
    <definedName name="oldbasicPB4">[1]Sheet1!$S$4:$S$37</definedName>
    <definedName name="_xlnm.Print_Area" localSheetId="0">'14'!$A$1:$I$51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53" i="1" l="1"/>
  <c r="D150" i="1"/>
  <c r="D152" i="1" s="1"/>
  <c r="D146" i="1"/>
  <c r="E107" i="1"/>
  <c r="E111" i="1" s="1"/>
  <c r="E112" i="1" s="1"/>
  <c r="F112" i="1" s="1"/>
  <c r="E99" i="1"/>
  <c r="B99" i="1"/>
  <c r="E93" i="1"/>
  <c r="L85" i="1"/>
  <c r="C85" i="1"/>
  <c r="C89" i="1" s="1"/>
  <c r="E97" i="1" s="1"/>
  <c r="G82" i="1"/>
  <c r="H80" i="1"/>
  <c r="G59" i="1"/>
  <c r="F59" i="1"/>
  <c r="H59" i="1" s="1"/>
  <c r="L55" i="1"/>
  <c r="L51" i="1"/>
  <c r="H48" i="1"/>
  <c r="M38" i="1"/>
  <c r="M37" i="1"/>
  <c r="M36" i="1"/>
  <c r="M39" i="1" s="1"/>
  <c r="G35" i="1" s="1"/>
  <c r="E35" i="1"/>
  <c r="M32" i="1"/>
  <c r="M31" i="1"/>
  <c r="G28" i="1"/>
  <c r="H31" i="1" s="1"/>
  <c r="D28" i="1"/>
  <c r="H24" i="1"/>
  <c r="H56" i="1" s="1"/>
  <c r="G24" i="1"/>
  <c r="G22" i="1"/>
  <c r="G21" i="1"/>
  <c r="H19" i="1"/>
  <c r="H16" i="1"/>
  <c r="M7" i="1"/>
  <c r="G8" i="1" s="1"/>
  <c r="L7" i="1"/>
  <c r="G5" i="1"/>
  <c r="G4" i="1"/>
  <c r="G7" i="1" s="1"/>
  <c r="I2" i="1"/>
  <c r="H60" i="1" l="1"/>
  <c r="H61" i="1" s="1"/>
  <c r="K110" i="1"/>
  <c r="K109" i="1"/>
  <c r="H106" i="1"/>
  <c r="H54" i="1"/>
  <c r="H57" i="1" s="1"/>
  <c r="L54" i="1" s="1"/>
  <c r="G9" i="1"/>
  <c r="H10" i="1" s="1"/>
  <c r="H26" i="1" s="1"/>
  <c r="E32" i="1" s="1"/>
  <c r="H32" i="1" s="1"/>
  <c r="A31" i="1"/>
  <c r="A43" i="1" s="1"/>
  <c r="H62" i="1" l="1"/>
  <c r="H63" i="1" s="1"/>
  <c r="E34" i="1"/>
  <c r="H107" i="1"/>
  <c r="H108" i="1" s="1"/>
  <c r="H109" i="1" s="1"/>
  <c r="M33" i="1" l="1"/>
  <c r="M34" i="1" s="1"/>
  <c r="G34" i="1"/>
  <c r="G36" i="1" s="1"/>
  <c r="H37" i="1" s="1"/>
  <c r="H111" i="1"/>
  <c r="H38" i="1" l="1"/>
  <c r="H39" i="1" s="1"/>
  <c r="H40" i="1" l="1"/>
  <c r="H41" i="1" s="1"/>
  <c r="H79" i="1" l="1"/>
  <c r="E92" i="1" l="1"/>
  <c r="E94" i="1" s="1"/>
  <c r="H81" i="1"/>
  <c r="H82" i="1" s="1"/>
  <c r="E86" i="1" l="1"/>
  <c r="F86" i="1" s="1"/>
  <c r="G86" i="1" s="1"/>
  <c r="H86" i="1" s="1"/>
  <c r="E84" i="1"/>
  <c r="F84" i="1" s="1"/>
  <c r="G84" i="1" s="1"/>
  <c r="H84" i="1" s="1"/>
  <c r="E87" i="1"/>
  <c r="F87" i="1" s="1"/>
  <c r="G87" i="1" s="1"/>
  <c r="H87" i="1" s="1"/>
  <c r="E85" i="1"/>
  <c r="F85" i="1" s="1"/>
  <c r="G85" i="1" s="1"/>
  <c r="H85" i="1" s="1"/>
  <c r="E96" i="1"/>
  <c r="E98" i="1"/>
  <c r="F98" i="1" l="1"/>
  <c r="H92" i="1" s="1"/>
  <c r="H89" i="1"/>
  <c r="H93" i="1" l="1"/>
  <c r="H94" i="1" s="1"/>
  <c r="H95" i="1" s="1"/>
  <c r="E100" i="1"/>
  <c r="E101" i="1" s="1"/>
  <c r="E102" i="1" s="1"/>
  <c r="F102" i="1" s="1"/>
  <c r="H96" i="1" s="1"/>
  <c r="H97" i="1" s="1"/>
  <c r="H98" i="1" s="1"/>
  <c r="H99" i="1" s="1"/>
  <c r="K86" i="1"/>
  <c r="K87" i="1" s="1"/>
  <c r="H101" i="1" l="1"/>
  <c r="K99" i="1" l="1"/>
  <c r="K100" i="1" s="1"/>
  <c r="H77" i="1"/>
  <c r="H42" i="1" s="1"/>
  <c r="H44" i="1" s="1"/>
  <c r="H49" i="1" s="1"/>
  <c r="B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44499B0E-CF4B-471F-9C8A-3A7D68CE41FF}">
      <text>
        <r>
          <rPr>
            <b/>
            <sz val="8"/>
            <color indexed="81"/>
            <rFont val="Tahoma"/>
            <family val="2"/>
          </rPr>
          <t>RATHORE:</t>
        </r>
        <r>
          <rPr>
            <sz val="8"/>
            <color indexed="81"/>
            <rFont val="Tahoma"/>
            <family val="2"/>
          </rPr>
          <t xml:space="preserve">
</t>
        </r>
      </text>
    </comment>
    <comment ref="C46" authorId="0" shapeId="0" xr:uid="{0D541B3F-3806-4E27-BDC1-53E6754619C1}">
      <text>
        <r>
          <rPr>
            <b/>
            <sz val="8"/>
            <color indexed="81"/>
            <rFont val="Tahoma"/>
            <family val="2"/>
          </rPr>
          <t>RATHORE:</t>
        </r>
        <r>
          <rPr>
            <sz val="8"/>
            <color indexed="81"/>
            <rFont val="Tahoma"/>
            <family val="2"/>
          </rPr>
          <t xml:space="preserve">
</t>
        </r>
      </text>
    </comment>
    <comment ref="B49" authorId="0" shapeId="0" xr:uid="{345879BC-B70F-435B-9212-880E12B96B61}">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<sst xmlns="http://schemas.openxmlformats.org/spreadsheetml/2006/main" count="261" uniqueCount="234">
  <si>
    <t>Dr. V.K. Singhania's Book</t>
  </si>
  <si>
    <t xml:space="preserve">A S S E S S M E N T   Y E A R  :  2 0 2 1 - 2 2  </t>
  </si>
  <si>
    <t xml:space="preserve">Case-14  (Agri income in India &amp; Bhutan, Salary, SOP, Gifts, NPS) </t>
  </si>
  <si>
    <t>Filing Date</t>
  </si>
  <si>
    <t>65th Edition:  August-2021</t>
  </si>
  <si>
    <t>Case Study-14</t>
  </si>
  <si>
    <t>Pages  546-547</t>
  </si>
  <si>
    <t>Jairam Goenka</t>
  </si>
  <si>
    <t>Exempted</t>
  </si>
  <si>
    <r>
      <t xml:space="preserve">SALARIES </t>
    </r>
    <r>
      <rPr>
        <sz val="10"/>
        <color theme="1"/>
        <rFont val="Arial"/>
        <family val="2"/>
      </rPr>
      <t>U/S 15-17</t>
    </r>
  </si>
  <si>
    <t>Amount (Rs.)</t>
  </si>
  <si>
    <t xml:space="preserve">Basic Salary </t>
  </si>
  <si>
    <t xml:space="preserve">Due date </t>
  </si>
  <si>
    <t>Sec 17(1)</t>
  </si>
  <si>
    <t>Basic Salary and Allowances</t>
  </si>
  <si>
    <t>Bonus</t>
  </si>
  <si>
    <t>Sec 17(2)</t>
  </si>
  <si>
    <t xml:space="preserve">Value of Perquisites </t>
  </si>
  <si>
    <t xml:space="preserve">H. Rent Allowance (No Rent paid) </t>
  </si>
  <si>
    <t>System Date</t>
  </si>
  <si>
    <t>Sec 17(3)</t>
  </si>
  <si>
    <t xml:space="preserve">Profit in lieu of Salary </t>
  </si>
  <si>
    <t>Conveyance Allowance</t>
  </si>
  <si>
    <t xml:space="preserve">Gross Salary </t>
  </si>
  <si>
    <t>Late Fees</t>
  </si>
  <si>
    <t>Sec 10</t>
  </si>
  <si>
    <t>Less Exempt Allowances (14000 + 68000)</t>
  </si>
  <si>
    <t xml:space="preserve">Leave Travel Concession </t>
  </si>
  <si>
    <t>Jan-Mar 22</t>
  </si>
  <si>
    <t xml:space="preserve">Net Salary </t>
  </si>
  <si>
    <t xml:space="preserve">Employer Contribution to Superannuation </t>
  </si>
  <si>
    <t>Sec 16(ia)</t>
  </si>
  <si>
    <t>Less Standard  Deduction</t>
  </si>
  <si>
    <r>
      <t>(Amount 160000)</t>
    </r>
    <r>
      <rPr>
        <sz val="9"/>
        <color rgb="FFC00000"/>
        <rFont val="Arial"/>
        <family val="2"/>
      </rPr>
      <t xml:space="preserve"> not exceeding Rs. 750,000</t>
    </r>
  </si>
  <si>
    <r>
      <t xml:space="preserve">HOUSE PROPERTY </t>
    </r>
    <r>
      <rPr>
        <sz val="10"/>
        <color theme="1"/>
        <rFont val="Arial"/>
        <family val="2"/>
      </rPr>
      <t>U/S 22-27</t>
    </r>
  </si>
  <si>
    <t xml:space="preserve">SOP </t>
  </si>
  <si>
    <t xml:space="preserve">Annual Value </t>
  </si>
  <si>
    <t xml:space="preserve">Nil </t>
  </si>
  <si>
    <t xml:space="preserve">Less  Municipal Taxes Paid </t>
  </si>
  <si>
    <t>Accrued Intt on Loan (Friend) to Purchase Prop</t>
  </si>
  <si>
    <t>Sec 24</t>
  </si>
  <si>
    <t>LESS: Deduction</t>
  </si>
  <si>
    <t xml:space="preserve">Std Ded 30% </t>
  </si>
  <si>
    <r>
      <t xml:space="preserve">(FY 2011-12)  </t>
    </r>
    <r>
      <rPr>
        <sz val="9"/>
        <color rgb="FFC00000"/>
        <rFont val="Arial"/>
        <family val="2"/>
      </rPr>
      <t>Repayment of Principal - NA u/s 80C</t>
    </r>
  </si>
  <si>
    <t xml:space="preserve">Intt on H  Loan </t>
  </si>
  <si>
    <t>Max Limit</t>
  </si>
  <si>
    <r>
      <t xml:space="preserve">CAPITAL GAINS </t>
    </r>
    <r>
      <rPr>
        <sz val="10"/>
        <color theme="1"/>
        <rFont val="Arial"/>
        <family val="2"/>
      </rPr>
      <t>U/S 45 - 55</t>
    </r>
  </si>
  <si>
    <t>SHORT TERM CAPITAL GAIN</t>
  </si>
  <si>
    <t xml:space="preserve">Saving Bank Interest </t>
  </si>
  <si>
    <t xml:space="preserve">LONG TERM CAPITAL GAIN </t>
  </si>
  <si>
    <t xml:space="preserve">Income from Agricultural activity (India) </t>
  </si>
  <si>
    <r>
      <t xml:space="preserve">OTHER SOURCES </t>
    </r>
    <r>
      <rPr>
        <sz val="10"/>
        <color theme="1"/>
        <rFont val="Arial"/>
        <family val="2"/>
      </rPr>
      <t>U/S 56-59</t>
    </r>
  </si>
  <si>
    <t>6/7, Shivpura, Rohtak-124001</t>
  </si>
  <si>
    <t xml:space="preserve">Income from Agri activity (Bhutan) </t>
  </si>
  <si>
    <t xml:space="preserve">Gifts-Friends (Wedding Anniversary) </t>
  </si>
  <si>
    <t>Gift from Non-Relative (Not exceeding 50000)</t>
  </si>
  <si>
    <t xml:space="preserve">Gifts Received on Birthday - Mama Ji </t>
  </si>
  <si>
    <t xml:space="preserve">Gift from Relative </t>
  </si>
  <si>
    <t xml:space="preserve">Partial Integration </t>
  </si>
  <si>
    <t>GROSS TOTAL INCOME</t>
  </si>
  <si>
    <t>Calculate tax on Agricultural + Non-Agri Income</t>
  </si>
  <si>
    <t xml:space="preserve">LESS: DEDUCTIONS UNDER CHAPTER VI-A </t>
  </si>
  <si>
    <t xml:space="preserve">Calculate tax on Agricultural + Exemption Limit </t>
  </si>
  <si>
    <t xml:space="preserve">Sec 80C </t>
  </si>
  <si>
    <t>Recognised Prov Fund</t>
  </si>
  <si>
    <t xml:space="preserve">Sec  80CCD (1) </t>
  </si>
  <si>
    <t xml:space="preserve">NPS </t>
  </si>
  <si>
    <r>
      <t xml:space="preserve">Sec  80CCD(1B) </t>
    </r>
    <r>
      <rPr>
        <sz val="9"/>
        <color theme="1"/>
        <rFont val="Arial"/>
        <family val="2"/>
      </rPr>
      <t>New Pension Scheme  Max 50000</t>
    </r>
  </si>
  <si>
    <t>Income Tax on Rs. 7410110</t>
  </si>
  <si>
    <t>Sec 80TTA</t>
  </si>
  <si>
    <t>SB Interest</t>
  </si>
  <si>
    <t>250,000  to  500,000</t>
  </si>
  <si>
    <t xml:space="preserve">TOTAL  INCOME </t>
  </si>
  <si>
    <t>Rounding Off u/s 288A</t>
  </si>
  <si>
    <t>500,000 to 1000,000</t>
  </si>
  <si>
    <t xml:space="preserve">TAX ON TOTAL INCOME </t>
  </si>
  <si>
    <t xml:space="preserve">INCOME  </t>
  </si>
  <si>
    <t>RATE</t>
  </si>
  <si>
    <t>TAX</t>
  </si>
  <si>
    <t xml:space="preserve">      Above   1000,000</t>
  </si>
  <si>
    <t>Tax on  Non-Agri+ Agri</t>
  </si>
  <si>
    <t>Tax on Agri + Exem Limit</t>
  </si>
  <si>
    <t>Less</t>
  </si>
  <si>
    <t>Income Tax on Rs. 2200000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</si>
  <si>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</si>
  <si>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</si>
  <si>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</si>
  <si>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 xml:space="preserve">ADD : HEALTH &amp; EDUCATION CESS (4 % on Income Tax + Surcharge) </t>
  </si>
  <si>
    <r>
      <t>TOTAL TAX PAYABLE</t>
    </r>
    <r>
      <rPr>
        <sz val="10"/>
        <color theme="1"/>
        <rFont val="Arial"/>
        <family val="2"/>
      </rPr>
      <t xml:space="preserve"> (including Surcharge &amp; Cesses) </t>
    </r>
  </si>
  <si>
    <t xml:space="preserve">Agricultural Income in India </t>
  </si>
  <si>
    <t xml:space="preserve">ADD : INTEREST U/S 234A, 234B &amp; 234C </t>
  </si>
  <si>
    <t>Interest till the Month of making Video i.e Nov-2021</t>
  </si>
  <si>
    <t xml:space="preserve">ADD : Late Fees U/S 234F </t>
  </si>
  <si>
    <t>Rs. 5000 (Jan-Mar 2022)</t>
  </si>
  <si>
    <t xml:space="preserve">(If Agri Income &gt; 500,000 then Information about Land) </t>
  </si>
  <si>
    <t>TOTAL TAX AND INTEREST PAYABLE</t>
  </si>
  <si>
    <t xml:space="preserve">TAX PAID U/S 199 : </t>
  </si>
  <si>
    <t xml:space="preserve">Advance Tax Paid  U/S 210 </t>
  </si>
  <si>
    <t>Details of Assets &amp; Liabilities</t>
  </si>
  <si>
    <t xml:space="preserve">Acq Cost </t>
  </si>
  <si>
    <t>Mkt Value</t>
  </si>
  <si>
    <t xml:space="preserve">T. D. S.  U/S 192 </t>
  </si>
  <si>
    <t>Employer</t>
  </si>
  <si>
    <t>Resi H Property</t>
  </si>
  <si>
    <t>Self-Assessment Tax Paid</t>
  </si>
  <si>
    <t xml:space="preserve">Jewellery </t>
  </si>
  <si>
    <t>Rounding Off u/s 288B</t>
  </si>
  <si>
    <t xml:space="preserve">Shares and Securities </t>
  </si>
  <si>
    <t xml:space="preserve">Tax Cals by Dr SB Rathore, Former Associate Professor of Commerce;  42 yrs Teaching Experience (Oct-77 to Dec-19) in Shyam Lal College (University of Delhi) </t>
  </si>
  <si>
    <t>Cash</t>
  </si>
  <si>
    <t>Website: www.taxclasses.in</t>
  </si>
  <si>
    <t xml:space="preserve">FaceBook: DrSB Rathore </t>
  </si>
  <si>
    <t xml:space="preserve">YouTube: Dr Rathore's tax Video Lectures (No Advertisements) </t>
  </si>
  <si>
    <t>New Tax Rates Regime</t>
  </si>
  <si>
    <t>Agri Income</t>
  </si>
  <si>
    <t>Salaries</t>
  </si>
  <si>
    <t>House Property</t>
  </si>
  <si>
    <t>Other Sources</t>
  </si>
  <si>
    <t>Total income</t>
  </si>
  <si>
    <t xml:space="preserve">Income Tax </t>
  </si>
  <si>
    <t>Surcharge</t>
  </si>
  <si>
    <t>HEC @ 4%</t>
  </si>
  <si>
    <t>Total Liability</t>
  </si>
  <si>
    <t xml:space="preserve">   Upto             2,50,000</t>
  </si>
  <si>
    <t>2,50,001   to    5,00,000</t>
  </si>
  <si>
    <t>5,00,001   to    7,50,000</t>
  </si>
  <si>
    <t>7,50,001   to  10,00,000</t>
  </si>
  <si>
    <t>10,00,001 to  12,50,000</t>
  </si>
  <si>
    <t>12,50,001  to  15,00,000</t>
  </si>
  <si>
    <t xml:space="preserve">   Above         15,00,000</t>
  </si>
  <si>
    <t>Part -B</t>
  </si>
  <si>
    <t>80C - 80GGC</t>
  </si>
  <si>
    <t xml:space="preserve">No Change </t>
  </si>
  <si>
    <t>Part -C</t>
  </si>
  <si>
    <t>80H - 80RRB</t>
  </si>
  <si>
    <t>Rebate u/s 87A (if TI upto  5 Lakhs)</t>
  </si>
  <si>
    <t>Part- CA</t>
  </si>
  <si>
    <t>80TTA, 80TTB</t>
  </si>
  <si>
    <t>15%  Surcharge   (TI 100 Lakhs - 200 Lakhs)</t>
  </si>
  <si>
    <t>Part-D</t>
  </si>
  <si>
    <t>80U</t>
  </si>
  <si>
    <t>Health &amp; Education Cess @ 4%</t>
  </si>
  <si>
    <t xml:space="preserve">Calculation  of Interest under Sections 234A, 234B &amp; 234C </t>
  </si>
  <si>
    <t>Total Interest</t>
  </si>
  <si>
    <t>Section 234C: In case of Non-Sr Citizen: If  Amount Exceeds Rs. 10000</t>
  </si>
  <si>
    <t>Total Tax, Surcharge &amp; Cess</t>
  </si>
  <si>
    <t>Less TDS by the Employer, Bank</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</si>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</sst>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00%"/>
    <numFmt numFmtId="166" formatCode="[$-409]d\-mmm\-yy;@"/>
  </numFmts>
  <fonts count="68" x14ac:knownFonts="1">
    <font>
      <sz val="11"/>
      <color theme="1"/>
      <name val="Calibri"/>
      <family val="2"/>
      <scheme val="minor"/>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8"/>
      <color theme="1"/>
      <name val="Arial"/>
      <family val="2"/>
    </font>
    <font>
      <b/>
      <sz val="10"/>
      <color theme="1"/>
      <name val="Arial"/>
      <family val="2"/>
    </font>
    <font>
      <i/>
      <sz val="10"/>
      <color theme="1"/>
      <name val="Arial"/>
      <family val="2"/>
    </font>
    <font>
      <b/>
      <sz val="10"/>
      <color rgb="FF0000FF"/>
      <name val="Arial"/>
      <family val="2"/>
    </font>
    <font>
      <b/>
      <sz val="8"/>
      <name val="Arial"/>
      <family val="2"/>
    </font>
    <font>
      <i/>
      <sz val="9"/>
      <color theme="1"/>
      <name val="Arial"/>
      <family val="2"/>
    </font>
    <font>
      <sz val="9"/>
      <color rgb="FF7030A0"/>
      <name val="Arial"/>
      <family val="2"/>
    </font>
    <font>
      <b/>
      <sz val="9"/>
      <color theme="1"/>
      <name val="Arial"/>
      <family val="2"/>
    </font>
    <font>
      <sz val="9"/>
      <name val="Arial"/>
      <family val="2"/>
    </font>
    <font>
      <sz val="10"/>
      <color rgb="FF7030A0"/>
      <name val="Arial"/>
      <family val="2"/>
    </font>
    <font>
      <sz val="8"/>
      <color theme="1"/>
      <name val="Arial Narrow"/>
      <family val="2"/>
    </font>
    <font>
      <i/>
      <sz val="9"/>
      <color rgb="FFC00000"/>
      <name val="Arial"/>
      <family val="2"/>
    </font>
    <font>
      <u/>
      <sz val="10"/>
      <color theme="1"/>
      <name val="Arial"/>
      <family val="2"/>
    </font>
    <font>
      <i/>
      <u/>
      <sz val="10"/>
      <color theme="1"/>
      <name val="Arial"/>
      <family val="2"/>
    </font>
    <font>
      <sz val="10"/>
      <color theme="3" tint="-0.249977111117893"/>
      <name val="Arial"/>
      <family val="2"/>
    </font>
    <font>
      <b/>
      <sz val="9"/>
      <color rgb="FF0000FF"/>
      <name val="Arial"/>
      <family val="2"/>
    </font>
    <font>
      <i/>
      <sz val="8"/>
      <color theme="1"/>
      <name val="Arial"/>
      <family val="2"/>
    </font>
    <font>
      <b/>
      <sz val="10"/>
      <color rgb="FFC00000"/>
      <name val="Arial Narrow"/>
      <family val="2"/>
    </font>
    <font>
      <sz val="8"/>
      <color rgb="FF0000FF"/>
      <name val="Arial"/>
      <family val="2"/>
    </font>
    <font>
      <i/>
      <sz val="10"/>
      <color rgb="FFFF0000"/>
      <name val="Arial"/>
      <family val="2"/>
    </font>
    <font>
      <sz val="10"/>
      <color theme="1"/>
      <name val="Arial Narrow"/>
      <family val="2"/>
    </font>
    <font>
      <sz val="9"/>
      <color rgb="FF00B0F0"/>
      <name val="Arial"/>
      <family val="2"/>
    </font>
    <font>
      <sz val="9"/>
      <color theme="1"/>
      <name val="Arial Narrow"/>
      <family val="2"/>
    </font>
    <font>
      <sz val="9"/>
      <color theme="7" tint="-0.249977111117893"/>
      <name val="Arial"/>
      <family val="2"/>
    </font>
    <font>
      <sz val="8"/>
      <color rgb="FF2B0CE4"/>
      <name val="Arial Narrow"/>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8"/>
      <name val="Arial"/>
      <family val="2"/>
    </font>
    <font>
      <sz val="10"/>
      <color rgb="FFC00000"/>
      <name val="Arial"/>
      <family val="2"/>
    </font>
    <font>
      <b/>
      <sz val="10"/>
      <color theme="4" tint="-0.249977111117893"/>
      <name val="Arial"/>
      <family val="2"/>
    </font>
    <font>
      <b/>
      <sz val="10"/>
      <color rgb="FF00B050"/>
      <name val="Arial"/>
      <family val="2"/>
    </font>
    <font>
      <b/>
      <sz val="9"/>
      <color rgb="FF00B050"/>
      <name val="Arial"/>
      <family val="2"/>
    </font>
    <font>
      <b/>
      <sz val="10"/>
      <color indexed="12"/>
      <name val="Arial"/>
      <family val="2"/>
    </font>
    <font>
      <b/>
      <sz val="1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96">
    <xf numFmtId="0" fontId="0" fillId="0" borderId="0" xfId="0"/>
    <xf numFmtId="0" fontId="3" fillId="0" borderId="3" xfId="2" applyFont="1" applyBorder="1" applyAlignment="1">
      <alignment horizontal="center"/>
    </xf>
    <xf numFmtId="0" fontId="5" fillId="0" borderId="6" xfId="2" applyFont="1" applyBorder="1" applyAlignment="1">
      <alignment horizontal="center"/>
    </xf>
    <xf numFmtId="0" fontId="3" fillId="0" borderId="0" xfId="2" applyFont="1"/>
    <xf numFmtId="0" fontId="7" fillId="0" borderId="8" xfId="2" applyFont="1" applyBorder="1" applyAlignment="1">
      <alignment horizontal="center"/>
    </xf>
    <xf numFmtId="0" fontId="8" fillId="0" borderId="8" xfId="2" applyFont="1" applyBorder="1" applyAlignment="1">
      <alignment horizontal="center"/>
    </xf>
    <xf numFmtId="15" fontId="10" fillId="0" borderId="8" xfId="2" applyNumberFormat="1" applyFont="1" applyBorder="1" applyAlignment="1">
      <alignment horizontal="center"/>
    </xf>
    <xf numFmtId="1" fontId="11" fillId="2" borderId="9" xfId="2" applyNumberFormat="1" applyFont="1" applyFill="1" applyBorder="1" applyAlignment="1">
      <alignment horizontal="center" shrinkToFit="1"/>
    </xf>
    <xf numFmtId="0" fontId="12" fillId="0" borderId="0" xfId="2" applyFont="1" applyAlignment="1">
      <alignment horizontal="center"/>
    </xf>
    <xf numFmtId="0" fontId="12" fillId="0" borderId="0" xfId="2" applyFont="1"/>
    <xf numFmtId="15" fontId="5" fillId="3" borderId="10" xfId="2" applyNumberFormat="1" applyFont="1" applyFill="1" applyBorder="1" applyAlignment="1">
      <alignment horizontal="center"/>
    </xf>
    <xf numFmtId="1" fontId="8" fillId="0" borderId="4" xfId="2" applyNumberFormat="1" applyFont="1" applyBorder="1" applyAlignment="1">
      <alignment shrinkToFit="1"/>
    </xf>
    <xf numFmtId="0" fontId="13" fillId="0" borderId="0" xfId="2" applyFont="1"/>
    <xf numFmtId="0" fontId="12" fillId="0" borderId="11" xfId="2" applyFont="1" applyBorder="1"/>
    <xf numFmtId="0" fontId="14" fillId="0" borderId="0" xfId="2" applyFont="1" applyAlignment="1">
      <alignment horizontal="center"/>
    </xf>
    <xf numFmtId="0" fontId="14" fillId="0" borderId="5" xfId="2" applyFont="1" applyBorder="1" applyAlignment="1">
      <alignment horizontal="center"/>
    </xf>
    <xf numFmtId="1" fontId="12" fillId="0" borderId="0" xfId="2" applyNumberFormat="1" applyFont="1"/>
    <xf numFmtId="0" fontId="10" fillId="0" borderId="10" xfId="2" applyFont="1" applyBorder="1" applyAlignment="1">
      <alignment horizontal="center"/>
    </xf>
    <xf numFmtId="0" fontId="8" fillId="0" borderId="4" xfId="2" applyFont="1" applyBorder="1" applyAlignment="1">
      <alignment shrinkToFit="1"/>
    </xf>
    <xf numFmtId="0" fontId="8" fillId="0" borderId="0" xfId="2" applyFont="1"/>
    <xf numFmtId="0" fontId="7" fillId="0" borderId="0" xfId="2" applyFont="1" applyAlignment="1">
      <alignment horizontal="left"/>
    </xf>
    <xf numFmtId="1" fontId="12" fillId="4" borderId="11" xfId="2" applyNumberFormat="1" applyFont="1" applyFill="1" applyBorder="1"/>
    <xf numFmtId="1" fontId="15" fillId="0" borderId="0" xfId="2" applyNumberFormat="1" applyFont="1"/>
    <xf numFmtId="1" fontId="15" fillId="0" borderId="5" xfId="2" applyNumberFormat="1" applyFont="1" applyBorder="1"/>
    <xf numFmtId="15" fontId="10" fillId="0" borderId="10" xfId="2" applyNumberFormat="1" applyFont="1" applyBorder="1" applyAlignment="1">
      <alignment horizontal="center"/>
    </xf>
    <xf numFmtId="14" fontId="8" fillId="0" borderId="10" xfId="2" applyNumberFormat="1" applyFont="1" applyBorder="1" applyAlignment="1">
      <alignment horizontal="center"/>
    </xf>
    <xf numFmtId="1" fontId="12" fillId="4" borderId="12" xfId="2" applyNumberFormat="1" applyFont="1" applyFill="1" applyBorder="1"/>
    <xf numFmtId="15" fontId="7" fillId="0" borderId="13" xfId="2" applyNumberFormat="1" applyFont="1" applyBorder="1" applyAlignment="1">
      <alignment horizontal="center"/>
    </xf>
    <xf numFmtId="0" fontId="16" fillId="0" borderId="0" xfId="2" applyFont="1" applyAlignment="1">
      <alignment horizontal="right"/>
    </xf>
    <xf numFmtId="1" fontId="12" fillId="0" borderId="14" xfId="2" applyNumberFormat="1" applyFont="1" applyBorder="1"/>
    <xf numFmtId="0" fontId="17" fillId="0" borderId="15" xfId="2" applyFont="1" applyBorder="1" applyAlignment="1">
      <alignment horizontal="right" vertical="center"/>
    </xf>
    <xf numFmtId="0" fontId="18" fillId="3" borderId="6" xfId="2" applyFont="1" applyFill="1" applyBorder="1" applyAlignment="1">
      <alignment horizontal="center"/>
    </xf>
    <xf numFmtId="0" fontId="19" fillId="0" borderId="0" xfId="2" applyFont="1"/>
    <xf numFmtId="17" fontId="20" fillId="0" borderId="10" xfId="2" applyNumberFormat="1" applyFont="1" applyBorder="1" applyAlignment="1">
      <alignment horizontal="center"/>
    </xf>
    <xf numFmtId="1" fontId="12" fillId="0" borderId="11" xfId="2" applyNumberFormat="1" applyFont="1" applyBorder="1"/>
    <xf numFmtId="0" fontId="7" fillId="0" borderId="0" xfId="2" applyFont="1"/>
    <xf numFmtId="0" fontId="20" fillId="0" borderId="13" xfId="2" applyFont="1" applyBorder="1" applyAlignment="1">
      <alignment horizontal="center"/>
    </xf>
    <xf numFmtId="0" fontId="5" fillId="0" borderId="0" xfId="2" applyFont="1" applyAlignment="1">
      <alignment vertical="top"/>
    </xf>
    <xf numFmtId="0" fontId="21" fillId="0" borderId="0" xfId="2" applyFont="1"/>
    <xf numFmtId="0" fontId="22" fillId="0" borderId="0" xfId="2" applyFont="1" applyAlignment="1">
      <alignment horizontal="left"/>
    </xf>
    <xf numFmtId="0" fontId="12" fillId="0" borderId="0" xfId="2" applyFont="1" applyAlignment="1">
      <alignment horizontal="left"/>
    </xf>
    <xf numFmtId="0" fontId="12" fillId="5" borderId="0" xfId="2" applyFont="1" applyFill="1" applyAlignment="1">
      <alignment horizontal="right"/>
    </xf>
    <xf numFmtId="1" fontId="15" fillId="0" borderId="16" xfId="2" applyNumberFormat="1" applyFont="1" applyBorder="1"/>
    <xf numFmtId="0" fontId="22" fillId="0" borderId="0" xfId="2" applyFont="1"/>
    <xf numFmtId="0" fontId="12" fillId="5" borderId="12" xfId="2" applyFont="1" applyFill="1" applyBorder="1" applyAlignment="1">
      <alignment horizontal="right"/>
    </xf>
    <xf numFmtId="0" fontId="12" fillId="0" borderId="0" xfId="2" applyFont="1" applyAlignment="1">
      <alignment horizontal="right"/>
    </xf>
    <xf numFmtId="0" fontId="12" fillId="0" borderId="0" xfId="2" applyFont="1" applyAlignment="1">
      <alignment vertical="top"/>
    </xf>
    <xf numFmtId="0" fontId="7" fillId="5" borderId="0" xfId="2" applyFont="1" applyFill="1" applyAlignment="1">
      <alignment horizontal="center"/>
    </xf>
    <xf numFmtId="0" fontId="12" fillId="0" borderId="12" xfId="2" applyFont="1" applyBorder="1"/>
    <xf numFmtId="0" fontId="12" fillId="5" borderId="0" xfId="2" applyFont="1" applyFill="1"/>
    <xf numFmtId="0" fontId="12" fillId="5" borderId="17" xfId="2" applyFont="1" applyFill="1" applyBorder="1"/>
    <xf numFmtId="0" fontId="23" fillId="0" borderId="0" xfId="2" applyFont="1"/>
    <xf numFmtId="0" fontId="5" fillId="0" borderId="0" xfId="2" applyFont="1" applyAlignment="1">
      <alignment horizontal="left" vertical="top" indent="2"/>
    </xf>
    <xf numFmtId="0" fontId="24" fillId="0" borderId="0" xfId="2" applyFont="1" applyAlignment="1">
      <alignment horizontal="center"/>
    </xf>
    <xf numFmtId="0" fontId="16" fillId="0" borderId="0" xfId="2" applyFont="1"/>
    <xf numFmtId="0" fontId="22" fillId="0" borderId="0" xfId="2" applyFont="1" applyAlignment="1">
      <alignment horizontal="left" wrapText="1"/>
    </xf>
    <xf numFmtId="0" fontId="19" fillId="0" borderId="0" xfId="2" applyFont="1" applyAlignment="1">
      <alignment horizontal="left" indent="1"/>
    </xf>
    <xf numFmtId="1" fontId="12" fillId="5" borderId="0" xfId="2" applyNumberFormat="1" applyFont="1" applyFill="1"/>
    <xf numFmtId="1" fontId="12" fillId="5" borderId="12" xfId="2" applyNumberFormat="1" applyFont="1" applyFill="1" applyBorder="1"/>
    <xf numFmtId="1" fontId="15" fillId="0" borderId="18" xfId="2" applyNumberFormat="1" applyFont="1" applyBorder="1"/>
    <xf numFmtId="1" fontId="17" fillId="0" borderId="19" xfId="2" applyNumberFormat="1" applyFont="1" applyBorder="1"/>
    <xf numFmtId="1" fontId="17" fillId="0" borderId="5" xfId="2" applyNumberFormat="1" applyFont="1" applyBorder="1"/>
    <xf numFmtId="0" fontId="26" fillId="0" borderId="0" xfId="2" applyFont="1"/>
    <xf numFmtId="0" fontId="27" fillId="0" borderId="0" xfId="2" applyFont="1"/>
    <xf numFmtId="0" fontId="28" fillId="0" borderId="0" xfId="2" applyFont="1"/>
    <xf numFmtId="0" fontId="5" fillId="0" borderId="0" xfId="2" applyFont="1" applyAlignment="1">
      <alignment horizontal="center"/>
    </xf>
    <xf numFmtId="0" fontId="15" fillId="0" borderId="0" xfId="2" applyFont="1"/>
    <xf numFmtId="0" fontId="17" fillId="0" borderId="0" xfId="2" applyFont="1"/>
    <xf numFmtId="0" fontId="29" fillId="0" borderId="4" xfId="2" applyFont="1" applyBorder="1" applyAlignment="1">
      <alignment horizontal="center"/>
    </xf>
    <xf numFmtId="0" fontId="12" fillId="5" borderId="12" xfId="2" applyFont="1" applyFill="1" applyBorder="1"/>
    <xf numFmtId="0" fontId="12" fillId="0" borderId="0" xfId="2" applyFont="1" applyAlignment="1">
      <alignment horizontal="left" indent="1"/>
    </xf>
    <xf numFmtId="9" fontId="12" fillId="0" borderId="0" xfId="2" applyNumberFormat="1" applyFont="1" applyAlignment="1">
      <alignment horizontal="center"/>
    </xf>
    <xf numFmtId="0" fontId="15" fillId="0" borderId="0" xfId="2" applyFont="1" applyAlignment="1">
      <alignment vertical="center"/>
    </xf>
    <xf numFmtId="1" fontId="24" fillId="0" borderId="0" xfId="2" applyNumberFormat="1" applyFont="1" applyAlignment="1">
      <alignment horizontal="left"/>
    </xf>
    <xf numFmtId="0" fontId="24" fillId="0" borderId="0" xfId="2" applyFont="1" applyAlignment="1">
      <alignment horizontal="left"/>
    </xf>
    <xf numFmtId="0" fontId="8" fillId="0" borderId="0" xfId="2" applyFont="1" applyAlignment="1">
      <alignment horizontal="right"/>
    </xf>
    <xf numFmtId="1" fontId="15" fillId="3" borderId="20" xfId="2" applyNumberFormat="1" applyFont="1" applyFill="1" applyBorder="1"/>
    <xf numFmtId="1" fontId="15" fillId="3" borderId="21" xfId="2" applyNumberFormat="1" applyFont="1" applyFill="1" applyBorder="1"/>
    <xf numFmtId="0" fontId="21" fillId="0" borderId="0" xfId="2" applyFont="1" applyAlignment="1">
      <alignment horizontal="right"/>
    </xf>
    <xf numFmtId="0" fontId="21" fillId="0" borderId="0" xfId="2" applyFont="1" applyAlignment="1">
      <alignment horizontal="center"/>
    </xf>
    <xf numFmtId="0" fontId="7" fillId="0" borderId="16" xfId="2" applyFont="1" applyBorder="1"/>
    <xf numFmtId="0" fontId="7" fillId="0" borderId="5" xfId="2" applyFont="1" applyBorder="1"/>
    <xf numFmtId="0" fontId="8" fillId="0" borderId="0" xfId="2" applyFont="1" applyAlignment="1">
      <alignment shrinkToFit="1"/>
    </xf>
    <xf numFmtId="0" fontId="30" fillId="0" borderId="0" xfId="2" applyFont="1" applyAlignment="1">
      <alignment horizontal="right"/>
    </xf>
    <xf numFmtId="0" fontId="15" fillId="6" borderId="15" xfId="2" applyFont="1" applyFill="1" applyBorder="1"/>
    <xf numFmtId="0" fontId="29" fillId="0" borderId="0" xfId="2" applyFont="1" applyAlignment="1">
      <alignment horizontal="center"/>
    </xf>
    <xf numFmtId="9" fontId="10" fillId="0" borderId="0" xfId="2" applyNumberFormat="1" applyFont="1" applyAlignment="1">
      <alignment horizontal="right"/>
    </xf>
    <xf numFmtId="0" fontId="12" fillId="0" borderId="16" xfId="2" applyFont="1" applyBorder="1"/>
    <xf numFmtId="0" fontId="12" fillId="0" borderId="5" xfId="2" applyFont="1" applyBorder="1"/>
    <xf numFmtId="1" fontId="15" fillId="0" borderId="16" xfId="2" applyNumberFormat="1" applyFont="1" applyBorder="1" applyAlignment="1">
      <alignment horizontal="right"/>
    </xf>
    <xf numFmtId="1" fontId="15" fillId="0" borderId="5" xfId="2" applyNumberFormat="1" applyFont="1" applyBorder="1" applyAlignment="1">
      <alignment horizontal="right"/>
    </xf>
    <xf numFmtId="0" fontId="12" fillId="0" borderId="12" xfId="2" applyFont="1" applyBorder="1" applyAlignment="1">
      <alignment horizontal="right"/>
    </xf>
    <xf numFmtId="1" fontId="12" fillId="0" borderId="16" xfId="2" applyNumberFormat="1" applyFont="1" applyBorder="1" applyAlignment="1">
      <alignment horizontal="right"/>
    </xf>
    <xf numFmtId="1" fontId="12" fillId="0" borderId="5" xfId="2" applyNumberFormat="1" applyFont="1" applyBorder="1" applyAlignment="1">
      <alignment horizontal="right"/>
    </xf>
    <xf numFmtId="9" fontId="9" fillId="0" borderId="0" xfId="2" applyNumberFormat="1" applyFont="1" applyAlignment="1">
      <alignment horizontal="center"/>
    </xf>
    <xf numFmtId="1" fontId="12" fillId="0" borderId="22" xfId="2" applyNumberFormat="1" applyFont="1" applyBorder="1" applyAlignment="1">
      <alignment horizontal="right"/>
    </xf>
    <xf numFmtId="1" fontId="12" fillId="0" borderId="18" xfId="2" applyNumberFormat="1" applyFont="1" applyBorder="1" applyAlignment="1">
      <alignment horizontal="right"/>
    </xf>
    <xf numFmtId="0" fontId="24" fillId="0" borderId="0" xfId="2" applyFont="1"/>
    <xf numFmtId="0" fontId="12" fillId="2" borderId="1" xfId="2" applyFont="1" applyFill="1" applyBorder="1" applyAlignment="1">
      <alignment horizontal="left" indent="1"/>
    </xf>
    <xf numFmtId="0" fontId="9" fillId="2" borderId="2" xfId="2" applyFont="1" applyFill="1" applyBorder="1"/>
    <xf numFmtId="0" fontId="12" fillId="2" borderId="3" xfId="2" applyFont="1" applyFill="1" applyBorder="1"/>
    <xf numFmtId="0" fontId="31" fillId="0" borderId="0" xfId="2" applyFont="1" applyAlignment="1">
      <alignment horizontal="left"/>
    </xf>
    <xf numFmtId="0" fontId="32" fillId="0" borderId="0" xfId="2" applyFont="1" applyAlignment="1">
      <alignment horizontal="right"/>
    </xf>
    <xf numFmtId="0" fontId="12" fillId="2" borderId="4" xfId="2" applyFont="1" applyFill="1" applyBorder="1" applyAlignment="1">
      <alignment horizontal="left" indent="1"/>
    </xf>
    <xf numFmtId="0" fontId="9" fillId="2" borderId="0" xfId="2" applyFont="1" applyFill="1"/>
    <xf numFmtId="0" fontId="12" fillId="2" borderId="5" xfId="2" applyFont="1" applyFill="1" applyBorder="1"/>
    <xf numFmtId="1" fontId="12" fillId="0" borderId="22" xfId="2" applyNumberFormat="1" applyFont="1" applyBorder="1"/>
    <xf numFmtId="1" fontId="12" fillId="0" borderId="18" xfId="2" applyNumberFormat="1" applyFont="1" applyBorder="1"/>
    <xf numFmtId="0" fontId="12" fillId="2" borderId="7" xfId="2" applyFont="1" applyFill="1" applyBorder="1" applyAlignment="1">
      <alignment horizontal="left" indent="1"/>
    </xf>
    <xf numFmtId="0" fontId="9" fillId="2" borderId="8" xfId="2" applyFont="1" applyFill="1" applyBorder="1"/>
    <xf numFmtId="0" fontId="12" fillId="2" borderId="9" xfId="2" applyFont="1" applyFill="1" applyBorder="1"/>
    <xf numFmtId="15" fontId="5" fillId="0" borderId="0" xfId="2" applyNumberFormat="1" applyFont="1" applyAlignment="1">
      <alignment horizontal="center"/>
    </xf>
    <xf numFmtId="0" fontId="34" fillId="0" borderId="0" xfId="2" applyFont="1" applyAlignment="1">
      <alignment horizontal="left" shrinkToFit="1"/>
    </xf>
    <xf numFmtId="0" fontId="12" fillId="7" borderId="0" xfId="2" applyFont="1" applyFill="1" applyAlignment="1">
      <alignment horizontal="left"/>
    </xf>
    <xf numFmtId="0" fontId="7" fillId="7" borderId="0" xfId="2" applyFont="1" applyFill="1" applyAlignment="1">
      <alignment horizontal="center"/>
    </xf>
    <xf numFmtId="1" fontId="35" fillId="0" borderId="0" xfId="2" applyNumberFormat="1" applyFont="1" applyAlignment="1">
      <alignment horizontal="center"/>
    </xf>
    <xf numFmtId="0" fontId="36" fillId="0" borderId="0" xfId="2" applyFont="1" applyAlignment="1">
      <alignment horizontal="left" shrinkToFit="1"/>
    </xf>
    <xf numFmtId="1" fontId="12" fillId="0" borderId="0" xfId="3" applyNumberFormat="1" applyFont="1" applyAlignment="1">
      <alignment horizontal="right"/>
    </xf>
    <xf numFmtId="1" fontId="9" fillId="0" borderId="0" xfId="3" applyNumberFormat="1" applyFont="1" applyAlignment="1">
      <alignment horizontal="center"/>
    </xf>
    <xf numFmtId="1" fontId="29" fillId="0" borderId="0" xfId="2" applyNumberFormat="1" applyFont="1" applyAlignment="1">
      <alignment horizontal="right"/>
    </xf>
    <xf numFmtId="1" fontId="8" fillId="0" borderId="23" xfId="2" applyNumberFormat="1" applyFont="1" applyBorder="1" applyAlignment="1">
      <alignment shrinkToFit="1"/>
    </xf>
    <xf numFmtId="0" fontId="12" fillId="0" borderId="24" xfId="2" applyFont="1" applyBorder="1"/>
    <xf numFmtId="0" fontId="37" fillId="0" borderId="24" xfId="2" applyFont="1" applyBorder="1"/>
    <xf numFmtId="0" fontId="24" fillId="0" borderId="24" xfId="2" applyFont="1" applyBorder="1" applyAlignment="1">
      <alignment horizontal="left"/>
    </xf>
    <xf numFmtId="0" fontId="12" fillId="0" borderId="24" xfId="2" applyFont="1" applyBorder="1" applyAlignment="1">
      <alignment horizontal="center"/>
    </xf>
    <xf numFmtId="1" fontId="15" fillId="3" borderId="25" xfId="2" applyNumberFormat="1" applyFont="1" applyFill="1" applyBorder="1"/>
    <xf numFmtId="1" fontId="15" fillId="3" borderId="26" xfId="2" applyNumberFormat="1" applyFont="1" applyFill="1" applyBorder="1"/>
    <xf numFmtId="1" fontId="9" fillId="0" borderId="0" xfId="2" applyNumberFormat="1" applyFont="1" applyAlignment="1">
      <alignment horizontal="center"/>
    </xf>
    <xf numFmtId="0" fontId="39" fillId="0" borderId="8" xfId="2" applyFont="1" applyBorder="1"/>
    <xf numFmtId="0" fontId="40" fillId="0" borderId="8" xfId="2" applyFont="1" applyBorder="1" applyAlignment="1">
      <alignment horizontal="center"/>
    </xf>
    <xf numFmtId="0" fontId="41" fillId="0" borderId="8" xfId="2" applyFont="1" applyBorder="1" applyAlignment="1">
      <alignment horizontal="center"/>
    </xf>
    <xf numFmtId="1" fontId="12" fillId="0" borderId="15" xfId="2" applyNumberFormat="1" applyFont="1" applyBorder="1"/>
    <xf numFmtId="0" fontId="43" fillId="0" borderId="0" xfId="2" applyFont="1" applyAlignment="1">
      <alignment shrinkToFit="1"/>
    </xf>
    <xf numFmtId="0" fontId="43" fillId="0" borderId="0" xfId="2" applyFont="1"/>
    <xf numFmtId="0" fontId="44" fillId="0" borderId="0" xfId="2" applyFont="1" applyAlignment="1">
      <alignment horizontal="left"/>
    </xf>
    <xf numFmtId="0" fontId="10" fillId="0" borderId="0" xfId="2" applyFont="1" applyAlignment="1">
      <alignment horizontal="left" indent="1"/>
    </xf>
    <xf numFmtId="0" fontId="44" fillId="0" borderId="0" xfId="2" applyFont="1" applyAlignment="1">
      <alignment horizontal="center"/>
    </xf>
    <xf numFmtId="0" fontId="5" fillId="0" borderId="0" xfId="2" applyFont="1" applyAlignment="1">
      <alignment horizontal="left" indent="1"/>
    </xf>
    <xf numFmtId="1" fontId="22" fillId="0" borderId="0" xfId="2" applyNumberFormat="1" applyFont="1"/>
    <xf numFmtId="0" fontId="39" fillId="0" borderId="0" xfId="2" applyFont="1" applyAlignment="1">
      <alignment horizontal="left" indent="1"/>
    </xf>
    <xf numFmtId="1" fontId="7" fillId="0" borderId="0" xfId="2" applyNumberFormat="1" applyFont="1"/>
    <xf numFmtId="0" fontId="7" fillId="0" borderId="17" xfId="2" applyFont="1" applyBorder="1"/>
    <xf numFmtId="1" fontId="7" fillId="0" borderId="17" xfId="2" applyNumberFormat="1" applyFont="1" applyBorder="1"/>
    <xf numFmtId="0" fontId="7" fillId="0" borderId="15" xfId="2" applyFont="1" applyBorder="1"/>
    <xf numFmtId="0" fontId="7" fillId="0" borderId="15" xfId="2" applyFont="1" applyBorder="1" applyAlignment="1">
      <alignment horizontal="right"/>
    </xf>
    <xf numFmtId="1" fontId="7" fillId="0" borderId="15" xfId="2" applyNumberFormat="1" applyFont="1" applyBorder="1"/>
    <xf numFmtId="0" fontId="7" fillId="0" borderId="0" xfId="2" applyFont="1" applyAlignment="1">
      <alignment horizontal="right"/>
    </xf>
    <xf numFmtId="0" fontId="19" fillId="0" borderId="0" xfId="2" applyFont="1" applyAlignment="1">
      <alignment horizontal="right"/>
    </xf>
    <xf numFmtId="0" fontId="7" fillId="0" borderId="0" xfId="2" applyFont="1" applyAlignment="1">
      <alignment horizontal="center"/>
    </xf>
    <xf numFmtId="0" fontId="7" fillId="0" borderId="15" xfId="2" applyFont="1" applyBorder="1" applyAlignment="1">
      <alignment horizontal="left"/>
    </xf>
    <xf numFmtId="0" fontId="44" fillId="0" borderId="0" xfId="2" applyFont="1"/>
    <xf numFmtId="0" fontId="1" fillId="8" borderId="4" xfId="2" applyFill="1" applyBorder="1" applyAlignment="1">
      <alignment horizontal="left" indent="1"/>
    </xf>
    <xf numFmtId="0" fontId="12" fillId="8" borderId="0" xfId="2" applyFont="1" applyFill="1"/>
    <xf numFmtId="0" fontId="1" fillId="8" borderId="5" xfId="2" applyFill="1" applyBorder="1" applyAlignment="1">
      <alignment horizontal="center"/>
    </xf>
    <xf numFmtId="9" fontId="1" fillId="8" borderId="5" xfId="1" applyFont="1" applyFill="1" applyBorder="1" applyAlignment="1">
      <alignment horizontal="center"/>
    </xf>
    <xf numFmtId="0" fontId="22" fillId="0" borderId="0" xfId="2" applyFont="1" applyAlignment="1">
      <alignment horizontal="center"/>
    </xf>
    <xf numFmtId="1" fontId="22" fillId="0" borderId="0" xfId="2" applyNumberFormat="1" applyFont="1" applyAlignment="1">
      <alignment horizontal="left"/>
    </xf>
    <xf numFmtId="1" fontId="22" fillId="0" borderId="0" xfId="2" applyNumberFormat="1" applyFont="1" applyAlignment="1">
      <alignment horizontal="center"/>
    </xf>
    <xf numFmtId="0" fontId="48" fillId="10" borderId="0" xfId="2" applyFont="1" applyFill="1"/>
    <xf numFmtId="0" fontId="49" fillId="10" borderId="0" xfId="2" applyFont="1" applyFill="1"/>
    <xf numFmtId="0" fontId="11" fillId="10" borderId="0" xfId="2" applyFont="1" applyFill="1"/>
    <xf numFmtId="1" fontId="15" fillId="10" borderId="0" xfId="2" applyNumberFormat="1" applyFont="1" applyFill="1"/>
    <xf numFmtId="165" fontId="12" fillId="0" borderId="0" xfId="2" applyNumberFormat="1" applyFont="1" applyAlignment="1">
      <alignment horizontal="center"/>
    </xf>
    <xf numFmtId="0" fontId="50" fillId="0" borderId="0" xfId="2" applyFont="1"/>
    <xf numFmtId="0" fontId="1" fillId="0" borderId="0" xfId="2"/>
    <xf numFmtId="0" fontId="5" fillId="0" borderId="0" xfId="2" applyFont="1"/>
    <xf numFmtId="2" fontId="51" fillId="0" borderId="0" xfId="2" applyNumberFormat="1" applyFont="1"/>
    <xf numFmtId="1" fontId="1" fillId="0" borderId="0" xfId="2" applyNumberFormat="1"/>
    <xf numFmtId="1" fontId="9" fillId="0" borderId="0" xfId="2" applyNumberFormat="1" applyFont="1"/>
    <xf numFmtId="0" fontId="22" fillId="0" borderId="0" xfId="2" applyFont="1" applyAlignment="1">
      <alignment horizontal="center" vertical="center"/>
    </xf>
    <xf numFmtId="0" fontId="1" fillId="0" borderId="0" xfId="2" applyAlignment="1">
      <alignment horizontal="center" vertical="center"/>
    </xf>
    <xf numFmtId="1" fontId="43"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2" applyFont="1" applyAlignment="1">
      <alignment horizontal="center" shrinkToFit="1"/>
    </xf>
    <xf numFmtId="166" fontId="1" fillId="0" borderId="0" xfId="2" applyNumberFormat="1" applyAlignment="1">
      <alignment horizontal="center"/>
    </xf>
    <xf numFmtId="1" fontId="1" fillId="8" borderId="0" xfId="2" applyNumberFormat="1" applyFill="1"/>
    <xf numFmtId="1" fontId="1" fillId="0" borderId="0" xfId="2" applyNumberFormat="1" applyAlignment="1">
      <alignment horizontal="center"/>
    </xf>
    <xf numFmtId="0" fontId="52" fillId="0" borderId="0" xfId="2" applyFont="1" applyAlignment="1">
      <alignment horizontal="center"/>
    </xf>
    <xf numFmtId="0" fontId="52" fillId="0" borderId="0" xfId="2" applyFont="1"/>
    <xf numFmtId="1" fontId="52" fillId="0" borderId="0" xfId="2" applyNumberFormat="1" applyFont="1" applyAlignment="1">
      <alignment horizontal="center"/>
    </xf>
    <xf numFmtId="2" fontId="1" fillId="0" borderId="0" xfId="2" applyNumberFormat="1"/>
    <xf numFmtId="2" fontId="1" fillId="0" borderId="0" xfId="2" applyNumberFormat="1" applyAlignment="1">
      <alignment horizontal="center"/>
    </xf>
    <xf numFmtId="1" fontId="49" fillId="0" borderId="15" xfId="2" applyNumberFormat="1" applyFont="1" applyBorder="1"/>
    <xf numFmtId="1" fontId="49" fillId="3" borderId="15" xfId="2" applyNumberFormat="1" applyFont="1" applyFill="1" applyBorder="1" applyAlignment="1">
      <alignment horizontal="center"/>
    </xf>
    <xf numFmtId="0" fontId="8" fillId="0" borderId="8" xfId="2" applyFont="1" applyBorder="1" applyAlignment="1">
      <alignment shrinkToFit="1"/>
    </xf>
    <xf numFmtId="0" fontId="1" fillId="0" borderId="8" xfId="2" applyBorder="1"/>
    <xf numFmtId="1" fontId="49" fillId="0" borderId="8" xfId="2" applyNumberFormat="1" applyFont="1" applyBorder="1"/>
    <xf numFmtId="2" fontId="49" fillId="0" borderId="0" xfId="2" applyNumberFormat="1" applyFont="1"/>
    <xf numFmtId="0" fontId="1" fillId="0" borderId="0" xfId="2" applyAlignment="1">
      <alignment horizontal="center"/>
    </xf>
    <xf numFmtId="17" fontId="1" fillId="0" borderId="0" xfId="2" applyNumberFormat="1" applyAlignment="1">
      <alignment horizontal="center"/>
    </xf>
    <xf numFmtId="0" fontId="22" fillId="0" borderId="0" xfId="2" applyFont="1" applyAlignment="1">
      <alignment horizontal="left" indent="1"/>
    </xf>
    <xf numFmtId="1" fontId="1" fillId="0" borderId="15" xfId="2" applyNumberFormat="1" applyBorder="1"/>
    <xf numFmtId="9" fontId="5" fillId="0" borderId="0" xfId="2" applyNumberFormat="1" applyFont="1" applyAlignment="1">
      <alignment horizontal="center"/>
    </xf>
    <xf numFmtId="0" fontId="53" fillId="0" borderId="0" xfId="2" applyFont="1" applyAlignment="1">
      <alignment horizontal="left"/>
    </xf>
    <xf numFmtId="0" fontId="9" fillId="0" borderId="0" xfId="2" applyFont="1" applyAlignment="1">
      <alignment horizontal="center"/>
    </xf>
    <xf numFmtId="0" fontId="9" fillId="0" borderId="0" xfId="2" applyFont="1"/>
    <xf numFmtId="15" fontId="8" fillId="0" borderId="0" xfId="2" applyNumberFormat="1" applyFont="1" applyAlignment="1">
      <alignment horizontal="center" shrinkToFit="1"/>
    </xf>
    <xf numFmtId="1" fontId="53" fillId="0" borderId="0" xfId="2" applyNumberFormat="1" applyFont="1" applyAlignment="1">
      <alignment horizontal="left"/>
    </xf>
    <xf numFmtId="1" fontId="33" fillId="0" borderId="0" xfId="2" applyNumberFormat="1" applyFont="1" applyAlignment="1">
      <alignment horizontal="left"/>
    </xf>
    <xf numFmtId="2" fontId="49" fillId="0" borderId="0" xfId="2" applyNumberFormat="1" applyFont="1" applyAlignment="1">
      <alignment horizontal="center"/>
    </xf>
    <xf numFmtId="1" fontId="53" fillId="0" borderId="0" xfId="2" applyNumberFormat="1" applyFont="1" applyAlignment="1">
      <alignment horizontal="right"/>
    </xf>
    <xf numFmtId="1" fontId="1" fillId="0" borderId="0" xfId="2" applyNumberFormat="1" applyAlignment="1">
      <alignment horizontal="right"/>
    </xf>
    <xf numFmtId="0" fontId="12" fillId="0" borderId="8" xfId="2" applyFont="1" applyBorder="1"/>
    <xf numFmtId="0" fontId="22" fillId="0" borderId="8" xfId="2" applyFont="1" applyBorder="1"/>
    <xf numFmtId="1" fontId="1" fillId="0" borderId="8" xfId="2" applyNumberFormat="1" applyBorder="1" applyAlignment="1">
      <alignment horizontal="right"/>
    </xf>
    <xf numFmtId="1" fontId="1" fillId="0" borderId="8" xfId="2" applyNumberFormat="1" applyBorder="1"/>
    <xf numFmtId="2" fontId="49" fillId="0" borderId="8" xfId="2" applyNumberFormat="1" applyFont="1" applyBorder="1" applyAlignment="1">
      <alignment horizontal="center"/>
    </xf>
    <xf numFmtId="14" fontId="1" fillId="0" borderId="0" xfId="2" applyNumberFormat="1" applyAlignment="1">
      <alignment horizontal="center"/>
    </xf>
    <xf numFmtId="0" fontId="54" fillId="0" borderId="0" xfId="2" applyFont="1" applyAlignment="1">
      <alignment horizontal="center"/>
    </xf>
    <xf numFmtId="1" fontId="12" fillId="0" borderId="0" xfId="2" applyNumberFormat="1" applyFont="1" applyAlignment="1">
      <alignment horizontal="right"/>
    </xf>
    <xf numFmtId="0" fontId="54" fillId="0" borderId="0" xfId="2" applyFont="1"/>
    <xf numFmtId="1" fontId="54" fillId="0" borderId="0" xfId="2" applyNumberFormat="1" applyFont="1" applyAlignment="1">
      <alignment horizontal="center"/>
    </xf>
    <xf numFmtId="17" fontId="1" fillId="0" borderId="0" xfId="2" applyNumberFormat="1"/>
    <xf numFmtId="0" fontId="55" fillId="0" borderId="1" xfId="2" applyFont="1" applyBorder="1"/>
    <xf numFmtId="0" fontId="7" fillId="0" borderId="2" xfId="2" applyFont="1" applyBorder="1"/>
    <xf numFmtId="0" fontId="57" fillId="0" borderId="0" xfId="2" applyFont="1"/>
    <xf numFmtId="0" fontId="9" fillId="0" borderId="4" xfId="2" applyFont="1" applyBorder="1"/>
    <xf numFmtId="0" fontId="58" fillId="0" borderId="4" xfId="2" applyFont="1" applyBorder="1" applyAlignment="1">
      <alignment horizontal="center" vertical="center"/>
    </xf>
    <xf numFmtId="0" fontId="16" fillId="0" borderId="0" xfId="2" applyFont="1" applyAlignment="1">
      <alignment horizontal="left" vertical="center"/>
    </xf>
    <xf numFmtId="0" fontId="7" fillId="0" borderId="4" xfId="2" applyFont="1" applyBorder="1" applyAlignment="1">
      <alignment shrinkToFit="1"/>
    </xf>
    <xf numFmtId="0" fontId="7" fillId="0" borderId="7" xfId="2" applyFont="1" applyBorder="1" applyAlignment="1">
      <alignment shrinkToFit="1"/>
    </xf>
    <xf numFmtId="0" fontId="7" fillId="0" borderId="9" xfId="2" applyFont="1" applyBorder="1"/>
    <xf numFmtId="0" fontId="7" fillId="0" borderId="0" xfId="2" applyFont="1" applyAlignment="1">
      <alignment shrinkToFit="1"/>
    </xf>
    <xf numFmtId="0" fontId="60" fillId="0" borderId="0" xfId="2" applyFont="1" applyAlignment="1">
      <alignment horizontal="left" vertical="top" wrapText="1"/>
    </xf>
    <xf numFmtId="0" fontId="60" fillId="0" borderId="2" xfId="2" applyFont="1" applyBorder="1" applyAlignment="1">
      <alignment horizontal="left" vertical="top" wrapText="1"/>
    </xf>
    <xf numFmtId="0" fontId="64" fillId="0" borderId="0" xfId="2" applyFont="1"/>
    <xf numFmtId="0" fontId="8" fillId="0" borderId="7" xfId="2" applyFont="1" applyBorder="1" applyAlignment="1">
      <alignment shrinkToFit="1"/>
    </xf>
    <xf numFmtId="0" fontId="7" fillId="0" borderId="8" xfId="2" applyFont="1" applyBorder="1"/>
    <xf numFmtId="0" fontId="12" fillId="0" borderId="9" xfId="2" applyFont="1" applyBorder="1"/>
    <xf numFmtId="0" fontId="56" fillId="0" borderId="1" xfId="2" applyFont="1" applyBorder="1"/>
    <xf numFmtId="0" fontId="22" fillId="0" borderId="2" xfId="2" applyFont="1" applyBorder="1" applyAlignment="1">
      <alignment horizontal="center"/>
    </xf>
    <xf numFmtId="0" fontId="1" fillId="0" borderId="2" xfId="2" applyBorder="1" applyAlignment="1">
      <alignment horizontal="center"/>
    </xf>
    <xf numFmtId="0" fontId="29" fillId="0" borderId="2" xfId="2" applyFont="1" applyBorder="1"/>
    <xf numFmtId="0" fontId="12" fillId="0" borderId="2" xfId="2" applyFont="1" applyBorder="1"/>
    <xf numFmtId="0" fontId="12" fillId="0" borderId="3" xfId="2" applyFont="1" applyBorder="1"/>
    <xf numFmtId="0" fontId="12" fillId="0" borderId="4" xfId="2" applyFont="1" applyBorder="1" applyAlignment="1">
      <alignment horizontal="left" indent="1"/>
    </xf>
    <xf numFmtId="0" fontId="1" fillId="0" borderId="0" xfId="2" applyAlignment="1">
      <alignment horizontal="right"/>
    </xf>
    <xf numFmtId="0" fontId="56" fillId="0" borderId="4" xfId="2" applyFont="1" applyBorder="1"/>
    <xf numFmtId="0" fontId="21" fillId="0" borderId="0" xfId="2" applyFont="1" applyAlignment="1">
      <alignment horizontal="left"/>
    </xf>
    <xf numFmtId="0" fontId="1" fillId="0" borderId="0" xfId="2" applyAlignment="1">
      <alignment horizontal="left" indent="1"/>
    </xf>
    <xf numFmtId="0" fontId="56" fillId="0" borderId="7" xfId="2" applyFont="1" applyBorder="1"/>
    <xf numFmtId="0" fontId="65" fillId="0" borderId="8" xfId="2" applyFont="1" applyBorder="1"/>
    <xf numFmtId="0" fontId="1" fillId="0" borderId="8" xfId="2" applyBorder="1" applyAlignment="1">
      <alignment horizontal="right"/>
    </xf>
    <xf numFmtId="0" fontId="60" fillId="0" borderId="8" xfId="2" applyFont="1" applyBorder="1" applyAlignment="1">
      <alignment horizontal="left" vertical="top" wrapText="1"/>
    </xf>
    <xf numFmtId="0" fontId="63" fillId="0" borderId="2" xfId="2" applyFont="1" applyBorder="1" applyAlignment="1">
      <alignment horizontal="center"/>
    </xf>
    <xf numFmtId="0" fontId="63" fillId="0" borderId="3" xfId="2" applyFont="1" applyBorder="1" applyAlignment="1">
      <alignment horizontal="center"/>
    </xf>
    <xf numFmtId="0" fontId="60" fillId="0" borderId="0" xfId="2" applyFont="1" applyAlignment="1">
      <alignment horizontal="left" vertical="top" wrapText="1"/>
    </xf>
    <xf numFmtId="0" fontId="60" fillId="0" borderId="5" xfId="2" applyFont="1" applyBorder="1" applyAlignment="1">
      <alignment horizontal="left" vertical="top" wrapText="1"/>
    </xf>
    <xf numFmtId="0" fontId="61" fillId="0" borderId="0" xfId="2" applyFont="1" applyAlignment="1">
      <alignment horizontal="left" vertical="top" wrapText="1"/>
    </xf>
    <xf numFmtId="0" fontId="61" fillId="0" borderId="5" xfId="2" applyFont="1" applyBorder="1" applyAlignment="1">
      <alignment horizontal="left" vertical="top" wrapText="1"/>
    </xf>
    <xf numFmtId="0" fontId="1" fillId="9" borderId="7" xfId="2" applyFill="1" applyBorder="1" applyAlignment="1">
      <alignment horizontal="center"/>
    </xf>
    <xf numFmtId="0" fontId="1" fillId="9" borderId="8" xfId="2" applyFill="1" applyBorder="1" applyAlignment="1">
      <alignment horizontal="center"/>
    </xf>
    <xf numFmtId="0" fontId="1" fillId="9" borderId="9" xfId="2" applyFill="1" applyBorder="1" applyAlignment="1">
      <alignment horizontal="center"/>
    </xf>
    <xf numFmtId="2" fontId="52" fillId="0" borderId="0" xfId="2" applyNumberFormat="1" applyFont="1" applyAlignment="1">
      <alignment horizontal="center"/>
    </xf>
    <xf numFmtId="2" fontId="9" fillId="0" borderId="0" xfId="2" applyNumberFormat="1" applyFont="1" applyAlignment="1">
      <alignment horizontal="center"/>
    </xf>
    <xf numFmtId="2" fontId="54" fillId="0" borderId="0" xfId="2" applyNumberFormat="1" applyFont="1" applyAlignment="1">
      <alignment horizontal="center"/>
    </xf>
    <xf numFmtId="0" fontId="56" fillId="0" borderId="2" xfId="2" applyFont="1" applyBorder="1" applyAlignment="1">
      <alignment horizontal="center"/>
    </xf>
    <xf numFmtId="0" fontId="56" fillId="0" borderId="3" xfId="2" applyFont="1" applyBorder="1" applyAlignment="1">
      <alignment horizontal="center"/>
    </xf>
    <xf numFmtId="14" fontId="8" fillId="0" borderId="7" xfId="2" applyNumberFormat="1" applyFont="1" applyBorder="1" applyAlignment="1">
      <alignment horizontal="center" shrinkToFit="1"/>
    </xf>
    <xf numFmtId="0" fontId="8" fillId="0" borderId="8" xfId="2" applyFont="1" applyBorder="1" applyAlignment="1">
      <alignment horizontal="center" shrinkToFit="1"/>
    </xf>
    <xf numFmtId="0" fontId="42" fillId="0" borderId="8" xfId="2" applyFont="1" applyBorder="1" applyAlignment="1">
      <alignment horizontal="center"/>
    </xf>
    <xf numFmtId="0" fontId="42" fillId="0" borderId="9" xfId="2" applyFont="1" applyBorder="1" applyAlignment="1">
      <alignment horizontal="center"/>
    </xf>
    <xf numFmtId="0" fontId="45" fillId="8" borderId="4" xfId="2" applyFont="1" applyFill="1" applyBorder="1" applyAlignment="1">
      <alignment horizontal="center"/>
    </xf>
    <xf numFmtId="0" fontId="45" fillId="8" borderId="0" xfId="2" applyFont="1" applyFill="1" applyAlignment="1">
      <alignment horizontal="center"/>
    </xf>
    <xf numFmtId="0" fontId="45" fillId="8" borderId="5" xfId="2" applyFont="1" applyFill="1" applyBorder="1" applyAlignment="1">
      <alignment horizontal="center"/>
    </xf>
    <xf numFmtId="0" fontId="46" fillId="9" borderId="4" xfId="2" applyFont="1" applyFill="1" applyBorder="1" applyAlignment="1">
      <alignment horizontal="center"/>
    </xf>
    <xf numFmtId="0" fontId="46" fillId="9" borderId="0" xfId="2" applyFont="1" applyFill="1" applyAlignment="1">
      <alignment horizontal="center"/>
    </xf>
    <xf numFmtId="0" fontId="46" fillId="9" borderId="5" xfId="2" applyFont="1" applyFill="1" applyBorder="1" applyAlignment="1">
      <alignment horizontal="center"/>
    </xf>
    <xf numFmtId="0" fontId="1" fillId="9" borderId="4" xfId="2" applyFill="1" applyBorder="1" applyAlignment="1">
      <alignment horizontal="center"/>
    </xf>
    <xf numFmtId="0" fontId="1" fillId="9" borderId="0" xfId="2" applyFill="1" applyAlignment="1">
      <alignment horizontal="center"/>
    </xf>
    <xf numFmtId="0" fontId="1" fillId="9" borderId="5" xfId="2" applyFill="1" applyBorder="1" applyAlignment="1">
      <alignment horizontal="center"/>
    </xf>
    <xf numFmtId="0" fontId="47" fillId="9" borderId="4" xfId="2" applyFont="1" applyFill="1" applyBorder="1" applyAlignment="1">
      <alignment horizontal="center"/>
    </xf>
    <xf numFmtId="0" fontId="47" fillId="9" borderId="0" xfId="2" applyFont="1" applyFill="1" applyAlignment="1">
      <alignment horizontal="center"/>
    </xf>
    <xf numFmtId="0" fontId="47" fillId="9" borderId="5" xfId="2" applyFont="1" applyFill="1" applyBorder="1" applyAlignment="1">
      <alignment horizontal="center"/>
    </xf>
    <xf numFmtId="0" fontId="25" fillId="0" borderId="4" xfId="2" applyFont="1" applyBorder="1" applyAlignment="1">
      <alignment horizontal="center"/>
    </xf>
    <xf numFmtId="0" fontId="25" fillId="0" borderId="5" xfId="2" applyFont="1" applyBorder="1" applyAlignment="1">
      <alignment horizontal="center"/>
    </xf>
    <xf numFmtId="0" fontId="25" fillId="0" borderId="7" xfId="2" applyFont="1" applyBorder="1" applyAlignment="1">
      <alignment horizontal="center"/>
    </xf>
    <xf numFmtId="0" fontId="25" fillId="0" borderId="9" xfId="2" applyFont="1" applyBorder="1" applyAlignment="1">
      <alignment horizontal="center"/>
    </xf>
    <xf numFmtId="0" fontId="33" fillId="2" borderId="4" xfId="2" applyFont="1" applyFill="1" applyBorder="1" applyAlignment="1">
      <alignment horizontal="center" vertical="center"/>
    </xf>
    <xf numFmtId="0" fontId="33" fillId="2" borderId="0" xfId="2" applyFont="1" applyFill="1" applyAlignment="1">
      <alignment horizontal="center" vertical="center"/>
    </xf>
    <xf numFmtId="0" fontId="33" fillId="2" borderId="5" xfId="2" applyFont="1" applyFill="1" applyBorder="1" applyAlignment="1">
      <alignment horizontal="center" vertical="center"/>
    </xf>
    <xf numFmtId="0" fontId="34" fillId="0" borderId="0" xfId="2" applyFont="1" applyAlignment="1">
      <alignment horizontal="left" shrinkToFit="1"/>
    </xf>
    <xf numFmtId="0" fontId="38" fillId="0" borderId="1" xfId="2" applyFont="1" applyBorder="1" applyAlignment="1">
      <alignment horizontal="center"/>
    </xf>
    <xf numFmtId="0" fontId="38" fillId="0" borderId="2" xfId="2" applyFont="1" applyBorder="1" applyAlignment="1">
      <alignment horizontal="center"/>
    </xf>
    <xf numFmtId="0" fontId="38" fillId="0" borderId="3" xfId="2" applyFont="1" applyBorder="1" applyAlignment="1">
      <alignment horizontal="center"/>
    </xf>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4" fillId="0" borderId="4" xfId="2" applyFont="1" applyBorder="1" applyAlignment="1">
      <alignment horizontal="center"/>
    </xf>
    <xf numFmtId="0" fontId="4" fillId="0" borderId="0" xfId="2" applyFont="1" applyAlignment="1">
      <alignment horizontal="center"/>
    </xf>
    <xf numFmtId="0" fontId="4" fillId="0" borderId="5" xfId="2" applyFont="1" applyBorder="1" applyAlignment="1">
      <alignment horizontal="center"/>
    </xf>
    <xf numFmtId="0" fontId="6" fillId="0" borderId="7" xfId="2" applyFont="1" applyBorder="1" applyAlignment="1">
      <alignment horizontal="center" shrinkToFit="1"/>
    </xf>
    <xf numFmtId="0" fontId="6" fillId="0" borderId="8" xfId="2" applyFont="1" applyBorder="1" applyAlignment="1">
      <alignment horizontal="center" shrinkToFit="1"/>
    </xf>
    <xf numFmtId="0" fontId="9" fillId="0" borderId="8" xfId="2" applyFont="1" applyBorder="1" applyAlignment="1">
      <alignment horizontal="center"/>
    </xf>
    <xf numFmtId="0" fontId="25" fillId="3" borderId="1" xfId="2" applyFont="1" applyFill="1" applyBorder="1" applyAlignment="1">
      <alignment horizontal="center"/>
    </xf>
    <xf numFmtId="0" fontId="25" fillId="3" borderId="3" xfId="2" applyFont="1" applyFill="1" applyBorder="1" applyAlignment="1">
      <alignment horizontal="center"/>
    </xf>
  </cellXfs>
  <cellStyles count="4">
    <cellStyle name="Comma 2" xfId="3" xr:uid="{780105CE-59F1-4C1D-9B03-9D7D01AD0AF8}"/>
    <cellStyle name="Normal" xfId="0" builtinId="0"/>
    <cellStyle name="Normal 2 2" xfId="2" xr:uid="{02A5476D-F338-4C80-821E-A6FC0D0AA469}"/>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DAFD3-C7F8-4626-BABB-6824C0FB653A}">
  <sheetPr>
    <pageSetUpPr fitToPage="1"/>
  </sheetPr>
  <dimension ref="A1:N153"/>
  <sheetViews>
    <sheetView showZeros="0" tabSelected="1" topLeftCell="A31" zoomScale="120" workbookViewId="0">
      <selection activeCell="N43" sqref="N43"/>
    </sheetView>
  </sheetViews>
  <sheetFormatPr defaultColWidth="9.109375" defaultRowHeight="15" customHeight="1" x14ac:dyDescent="0.25"/>
  <cols>
    <col min="1" max="1" width="4" style="82" customWidth="1"/>
    <col min="2" max="2" width="9.6640625" style="9" customWidth="1"/>
    <col min="3" max="3" width="10.6640625" style="9" customWidth="1"/>
    <col min="4" max="4" width="12.6640625" style="9" customWidth="1"/>
    <col min="5" max="5" width="15.88671875" style="9" customWidth="1"/>
    <col min="6" max="6" width="10.44140625" style="9" customWidth="1"/>
    <col min="7" max="7" width="10.6640625" style="9" customWidth="1"/>
    <col min="8" max="8" width="12.6640625" style="9" customWidth="1"/>
    <col min="9" max="9" width="3.44140625" style="9" customWidth="1"/>
    <col min="10" max="10" width="4" style="9" customWidth="1"/>
    <col min="11" max="11" width="31.21875" style="9" customWidth="1"/>
    <col min="12" max="12" width="9.6640625" style="9" customWidth="1"/>
    <col min="13" max="13" width="10.44140625" style="9" customWidth="1"/>
    <col min="14" max="14" width="12" style="9" customWidth="1"/>
    <col min="15" max="16384" width="9.109375" style="9"/>
  </cols>
  <sheetData>
    <row r="1" spans="1:14" s="3" customFormat="1" ht="14.25" customHeight="1" x14ac:dyDescent="0.3">
      <c r="A1" s="285" t="s">
        <v>0</v>
      </c>
      <c r="B1" s="286"/>
      <c r="C1" s="286"/>
      <c r="D1" s="287" t="s">
        <v>1</v>
      </c>
      <c r="E1" s="287"/>
      <c r="F1" s="287"/>
      <c r="G1" s="287"/>
      <c r="H1" s="287"/>
      <c r="I1" s="1"/>
      <c r="J1" s="288" t="s">
        <v>2</v>
      </c>
      <c r="K1" s="289"/>
      <c r="L1" s="289"/>
      <c r="M1" s="290"/>
      <c r="N1" s="2" t="s">
        <v>3</v>
      </c>
    </row>
    <row r="2" spans="1:14" ht="15" customHeight="1" thickBot="1" x14ac:dyDescent="0.3">
      <c r="A2" s="291" t="s">
        <v>4</v>
      </c>
      <c r="B2" s="292"/>
      <c r="C2" s="292"/>
      <c r="D2" s="4" t="s">
        <v>5</v>
      </c>
      <c r="E2" s="5" t="s">
        <v>6</v>
      </c>
      <c r="F2" s="293" t="s">
        <v>7</v>
      </c>
      <c r="G2" s="293"/>
      <c r="H2" s="6">
        <v>27987</v>
      </c>
      <c r="I2" s="7">
        <f>IF(H2&lt;21642,"Sr",0)</f>
        <v>0</v>
      </c>
      <c r="J2" s="8"/>
      <c r="M2" s="8" t="s">
        <v>8</v>
      </c>
      <c r="N2" s="10">
        <v>44387</v>
      </c>
    </row>
    <row r="3" spans="1:14" ht="15" customHeight="1" x14ac:dyDescent="0.25">
      <c r="A3" s="11"/>
      <c r="B3" s="12" t="s">
        <v>9</v>
      </c>
      <c r="G3" s="13"/>
      <c r="H3" s="14" t="s">
        <v>10</v>
      </c>
      <c r="I3" s="15"/>
      <c r="K3" s="16" t="s">
        <v>11</v>
      </c>
      <c r="L3" s="9">
        <v>4800000</v>
      </c>
      <c r="N3" s="17" t="s">
        <v>12</v>
      </c>
    </row>
    <row r="4" spans="1:14" ht="15" customHeight="1" x14ac:dyDescent="0.25">
      <c r="A4" s="18"/>
      <c r="B4" s="19" t="s">
        <v>13</v>
      </c>
      <c r="C4" s="20" t="s">
        <v>14</v>
      </c>
      <c r="G4" s="21">
        <f>+L7</f>
        <v>5815000</v>
      </c>
      <c r="H4" s="22"/>
      <c r="I4" s="23"/>
      <c r="K4" s="9" t="s">
        <v>15</v>
      </c>
      <c r="L4" s="9">
        <v>600000</v>
      </c>
      <c r="N4" s="24">
        <v>44561</v>
      </c>
    </row>
    <row r="5" spans="1:14" ht="15" customHeight="1" x14ac:dyDescent="0.25">
      <c r="A5" s="18"/>
      <c r="B5" s="19" t="s">
        <v>16</v>
      </c>
      <c r="C5" s="20" t="s">
        <v>17</v>
      </c>
      <c r="G5" s="21">
        <f>+L8+L9</f>
        <v>70000</v>
      </c>
      <c r="H5" s="22"/>
      <c r="I5" s="23"/>
      <c r="K5" s="9" t="s">
        <v>18</v>
      </c>
      <c r="L5" s="9">
        <v>400000</v>
      </c>
      <c r="N5" s="25" t="s">
        <v>19</v>
      </c>
    </row>
    <row r="6" spans="1:14" ht="15" customHeight="1" thickBot="1" x14ac:dyDescent="0.3">
      <c r="A6" s="18"/>
      <c r="B6" s="19" t="s">
        <v>20</v>
      </c>
      <c r="C6" s="20" t="s">
        <v>21</v>
      </c>
      <c r="G6" s="26"/>
      <c r="H6" s="22"/>
      <c r="I6" s="23"/>
      <c r="K6" s="9" t="s">
        <v>22</v>
      </c>
      <c r="L6" s="9">
        <v>15000</v>
      </c>
      <c r="M6" s="9">
        <v>14000</v>
      </c>
      <c r="N6" s="27">
        <v>44521</v>
      </c>
    </row>
    <row r="7" spans="1:14" ht="15" customHeight="1" thickBot="1" x14ac:dyDescent="0.3">
      <c r="A7" s="18"/>
      <c r="B7" s="12"/>
      <c r="C7" s="20"/>
      <c r="F7" s="28" t="s">
        <v>23</v>
      </c>
      <c r="G7" s="29">
        <f>G4+G5+G6</f>
        <v>5885000</v>
      </c>
      <c r="H7" s="22"/>
      <c r="I7" s="23"/>
      <c r="L7" s="30">
        <f>SUM(L3:L6)</f>
        <v>5815000</v>
      </c>
      <c r="M7" s="30">
        <f>SUM(M3:M6)</f>
        <v>14000</v>
      </c>
      <c r="N7" s="31" t="s">
        <v>24</v>
      </c>
    </row>
    <row r="8" spans="1:14" ht="15" customHeight="1" thickTop="1" x14ac:dyDescent="0.25">
      <c r="A8" s="18"/>
      <c r="B8" s="32" t="s">
        <v>25</v>
      </c>
      <c r="C8" s="20" t="s">
        <v>26</v>
      </c>
      <c r="G8" s="26">
        <f>M7+M8</f>
        <v>82000</v>
      </c>
      <c r="H8" s="22"/>
      <c r="I8" s="23"/>
      <c r="K8" s="16" t="s">
        <v>27</v>
      </c>
      <c r="L8" s="9">
        <v>70000</v>
      </c>
      <c r="M8" s="9">
        <v>68000</v>
      </c>
      <c r="N8" s="33" t="s">
        <v>28</v>
      </c>
    </row>
    <row r="9" spans="1:14" ht="15" customHeight="1" thickBot="1" x14ac:dyDescent="0.3">
      <c r="A9" s="18"/>
      <c r="B9" s="12"/>
      <c r="F9" s="28" t="s">
        <v>29</v>
      </c>
      <c r="G9" s="34">
        <f>G7-G8</f>
        <v>5803000</v>
      </c>
      <c r="H9" s="22"/>
      <c r="I9" s="23"/>
      <c r="K9" s="35" t="s">
        <v>30</v>
      </c>
      <c r="N9" s="36">
        <v>5000</v>
      </c>
    </row>
    <row r="10" spans="1:14" ht="15" customHeight="1" x14ac:dyDescent="0.25">
      <c r="A10" s="18"/>
      <c r="B10" s="19" t="s">
        <v>31</v>
      </c>
      <c r="C10" s="35" t="s">
        <v>32</v>
      </c>
      <c r="G10" s="26">
        <v>50000</v>
      </c>
      <c r="H10" s="22">
        <f>G9-G10</f>
        <v>5753000</v>
      </c>
      <c r="I10" s="23"/>
      <c r="J10" s="8"/>
      <c r="K10" s="37" t="s">
        <v>33</v>
      </c>
    </row>
    <row r="11" spans="1:14" ht="21" customHeight="1" x14ac:dyDescent="0.25">
      <c r="A11" s="18"/>
      <c r="B11" s="12" t="s">
        <v>34</v>
      </c>
      <c r="E11" s="38" t="s">
        <v>35</v>
      </c>
      <c r="G11" s="13"/>
      <c r="H11" s="22"/>
      <c r="I11" s="23"/>
    </row>
    <row r="12" spans="1:14" ht="15" customHeight="1" x14ac:dyDescent="0.25">
      <c r="A12" s="18"/>
      <c r="C12" s="39" t="s">
        <v>36</v>
      </c>
      <c r="D12" s="20"/>
      <c r="E12" s="40"/>
      <c r="F12" s="8"/>
      <c r="G12" s="41" t="s">
        <v>37</v>
      </c>
      <c r="H12" s="42"/>
      <c r="I12" s="23"/>
    </row>
    <row r="13" spans="1:14" ht="15" customHeight="1" x14ac:dyDescent="0.25">
      <c r="A13" s="18"/>
      <c r="C13" s="43" t="s">
        <v>38</v>
      </c>
      <c r="D13" s="20"/>
      <c r="E13" s="40"/>
      <c r="F13" s="8"/>
      <c r="G13" s="44" t="s">
        <v>37</v>
      </c>
      <c r="H13" s="42"/>
      <c r="I13" s="23"/>
    </row>
    <row r="14" spans="1:14" ht="15" customHeight="1" x14ac:dyDescent="0.25">
      <c r="A14" s="18"/>
      <c r="C14" s="43"/>
      <c r="D14" s="20"/>
      <c r="E14" s="40"/>
      <c r="F14" s="8"/>
      <c r="G14" s="45" t="s">
        <v>37</v>
      </c>
      <c r="H14" s="42"/>
      <c r="I14" s="23"/>
      <c r="K14" s="9" t="s">
        <v>39</v>
      </c>
      <c r="M14" s="9">
        <v>310000</v>
      </c>
    </row>
    <row r="15" spans="1:14" ht="15" customHeight="1" x14ac:dyDescent="0.25">
      <c r="A15" s="18"/>
      <c r="B15" s="19" t="s">
        <v>40</v>
      </c>
      <c r="C15" s="35" t="s">
        <v>41</v>
      </c>
      <c r="D15" s="20"/>
      <c r="E15" s="35" t="s">
        <v>42</v>
      </c>
      <c r="F15" s="8" t="s">
        <v>37</v>
      </c>
      <c r="H15" s="42"/>
      <c r="I15" s="23"/>
      <c r="K15" s="37" t="s">
        <v>43</v>
      </c>
      <c r="L15" s="46"/>
    </row>
    <row r="16" spans="1:14" ht="15" customHeight="1" x14ac:dyDescent="0.25">
      <c r="A16" s="18"/>
      <c r="C16" s="43"/>
      <c r="D16" s="20"/>
      <c r="E16" s="35" t="s">
        <v>44</v>
      </c>
      <c r="F16" s="47" t="s">
        <v>45</v>
      </c>
      <c r="G16" s="48">
        <v>200000</v>
      </c>
      <c r="H16" s="42">
        <f>0-G16</f>
        <v>-200000</v>
      </c>
      <c r="I16" s="23"/>
    </row>
    <row r="17" spans="1:14" ht="15" customHeight="1" x14ac:dyDescent="0.25">
      <c r="A17" s="18"/>
      <c r="B17" s="12" t="s">
        <v>46</v>
      </c>
      <c r="H17" s="42"/>
      <c r="I17" s="23"/>
    </row>
    <row r="18" spans="1:14" ht="15" customHeight="1" x14ac:dyDescent="0.25">
      <c r="A18" s="18"/>
      <c r="C18" s="35" t="s">
        <v>47</v>
      </c>
      <c r="G18" s="49"/>
      <c r="H18" s="42"/>
      <c r="I18" s="23"/>
      <c r="K18" s="9" t="s">
        <v>48</v>
      </c>
      <c r="M18" s="9">
        <v>37110</v>
      </c>
    </row>
    <row r="19" spans="1:14" ht="15" customHeight="1" x14ac:dyDescent="0.25">
      <c r="A19" s="18"/>
      <c r="C19" s="35" t="s">
        <v>49</v>
      </c>
      <c r="G19" s="50"/>
      <c r="H19" s="42">
        <f>G18+G19</f>
        <v>0</v>
      </c>
      <c r="I19" s="23"/>
      <c r="K19" s="51" t="s">
        <v>50</v>
      </c>
      <c r="M19" s="9">
        <v>1950000</v>
      </c>
    </row>
    <row r="20" spans="1:14" ht="15" customHeight="1" x14ac:dyDescent="0.25">
      <c r="A20" s="18"/>
      <c r="B20" s="12" t="s">
        <v>51</v>
      </c>
      <c r="H20" s="42"/>
      <c r="I20" s="23"/>
      <c r="K20" s="52" t="s">
        <v>52</v>
      </c>
    </row>
    <row r="21" spans="1:14" ht="15" customHeight="1" x14ac:dyDescent="0.25">
      <c r="A21" s="18"/>
      <c r="B21" s="53"/>
      <c r="C21" s="39" t="s">
        <v>48</v>
      </c>
      <c r="D21" s="19"/>
      <c r="E21" s="19"/>
      <c r="F21" s="35"/>
      <c r="G21" s="49">
        <f>+M18</f>
        <v>37110</v>
      </c>
      <c r="H21" s="42"/>
      <c r="I21" s="23"/>
      <c r="K21" s="51" t="s">
        <v>53</v>
      </c>
      <c r="M21" s="9">
        <v>80000</v>
      </c>
      <c r="N21" s="19"/>
    </row>
    <row r="22" spans="1:14" ht="15" customHeight="1" x14ac:dyDescent="0.25">
      <c r="A22" s="18"/>
      <c r="B22" s="53"/>
      <c r="C22" s="9" t="s">
        <v>53</v>
      </c>
      <c r="D22" s="19"/>
      <c r="E22" s="19"/>
      <c r="F22" s="35"/>
      <c r="G22" s="49">
        <f>+M21</f>
        <v>80000</v>
      </c>
      <c r="H22" s="42"/>
      <c r="I22" s="23"/>
      <c r="K22" s="54" t="s">
        <v>54</v>
      </c>
      <c r="M22" s="9">
        <v>40000</v>
      </c>
      <c r="N22" s="55"/>
    </row>
    <row r="23" spans="1:14" ht="15" customHeight="1" x14ac:dyDescent="0.25">
      <c r="A23" s="18"/>
      <c r="B23" s="53"/>
      <c r="C23" s="56" t="s">
        <v>55</v>
      </c>
      <c r="D23" s="19"/>
      <c r="E23" s="19"/>
      <c r="F23" s="35"/>
      <c r="G23" s="57"/>
      <c r="H23" s="42"/>
      <c r="I23" s="23"/>
      <c r="K23" s="54" t="s">
        <v>56</v>
      </c>
      <c r="M23" s="9">
        <v>200000</v>
      </c>
      <c r="N23" s="55"/>
    </row>
    <row r="24" spans="1:14" ht="15" customHeight="1" thickBot="1" x14ac:dyDescent="0.3">
      <c r="A24" s="18"/>
      <c r="B24" s="53"/>
      <c r="C24" s="56" t="s">
        <v>57</v>
      </c>
      <c r="G24" s="58">
        <f>L24/70*100</f>
        <v>0</v>
      </c>
      <c r="H24" s="42">
        <f>SUM(G21:G24)</f>
        <v>117110</v>
      </c>
      <c r="I24" s="23"/>
    </row>
    <row r="25" spans="1:14" ht="15" customHeight="1" x14ac:dyDescent="0.25">
      <c r="A25" s="18"/>
      <c r="B25" s="53"/>
      <c r="G25" s="16"/>
      <c r="H25" s="42"/>
      <c r="I25" s="59"/>
      <c r="K25" s="294" t="s">
        <v>58</v>
      </c>
      <c r="L25" s="295"/>
    </row>
    <row r="26" spans="1:14" ht="15" customHeight="1" x14ac:dyDescent="0.25">
      <c r="A26" s="18"/>
      <c r="B26" s="12" t="s">
        <v>59</v>
      </c>
      <c r="E26" s="8"/>
      <c r="F26" s="8"/>
      <c r="G26" s="22"/>
      <c r="H26" s="60">
        <f>SUM(H4:H25)</f>
        <v>5670110</v>
      </c>
      <c r="I26" s="61"/>
      <c r="K26" s="274" t="s">
        <v>60</v>
      </c>
      <c r="L26" s="275"/>
    </row>
    <row r="27" spans="1:14" ht="15" customHeight="1" thickBot="1" x14ac:dyDescent="0.3">
      <c r="A27" s="18"/>
      <c r="B27" s="62" t="s">
        <v>61</v>
      </c>
      <c r="H27" s="42"/>
      <c r="I27" s="23"/>
      <c r="K27" s="276" t="s">
        <v>62</v>
      </c>
      <c r="L27" s="277"/>
    </row>
    <row r="28" spans="1:14" ht="15" customHeight="1" x14ac:dyDescent="0.25">
      <c r="A28" s="18"/>
      <c r="B28" s="63"/>
      <c r="C28" s="38" t="s">
        <v>63</v>
      </c>
      <c r="D28" s="9" t="str">
        <f>+K28</f>
        <v>Recognised Prov Fund</v>
      </c>
      <c r="G28" s="49">
        <f>+M28</f>
        <v>120000</v>
      </c>
      <c r="H28" s="42"/>
      <c r="I28" s="23"/>
      <c r="K28" s="64" t="s">
        <v>64</v>
      </c>
      <c r="M28" s="64">
        <v>120000</v>
      </c>
    </row>
    <row r="29" spans="1:14" ht="15" customHeight="1" x14ac:dyDescent="0.25">
      <c r="A29" s="18"/>
      <c r="B29" s="63"/>
      <c r="C29" s="38" t="s">
        <v>65</v>
      </c>
      <c r="E29" s="65">
        <v>34000</v>
      </c>
      <c r="G29" s="49">
        <v>30000</v>
      </c>
      <c r="H29" s="42"/>
      <c r="I29" s="23"/>
      <c r="K29" s="64" t="s">
        <v>66</v>
      </c>
      <c r="M29" s="64">
        <v>84000</v>
      </c>
    </row>
    <row r="30" spans="1:14" ht="15" customHeight="1" x14ac:dyDescent="0.25">
      <c r="A30" s="18"/>
      <c r="B30" s="63"/>
      <c r="C30" s="38" t="s">
        <v>67</v>
      </c>
      <c r="F30" s="66"/>
      <c r="G30" s="49">
        <v>50000</v>
      </c>
      <c r="H30" s="42"/>
      <c r="I30" s="23"/>
      <c r="K30" s="67" t="s">
        <v>68</v>
      </c>
    </row>
    <row r="31" spans="1:14" ht="15" customHeight="1" x14ac:dyDescent="0.25">
      <c r="A31" s="68">
        <f>+I2</f>
        <v>0</v>
      </c>
      <c r="C31" s="38" t="s">
        <v>69</v>
      </c>
      <c r="D31" s="35" t="s">
        <v>70</v>
      </c>
      <c r="E31" s="8"/>
      <c r="F31" s="8"/>
      <c r="G31" s="69">
        <v>10000</v>
      </c>
      <c r="H31" s="42">
        <f>SUM(G28:G31)</f>
        <v>210000</v>
      </c>
      <c r="I31" s="23"/>
      <c r="K31" s="70" t="s">
        <v>71</v>
      </c>
      <c r="L31" s="71">
        <v>0.05</v>
      </c>
      <c r="M31" s="9">
        <f>250000*5%</f>
        <v>12500</v>
      </c>
    </row>
    <row r="32" spans="1:14" ht="15" customHeight="1" thickBot="1" x14ac:dyDescent="0.3">
      <c r="A32" s="18"/>
      <c r="B32" s="72" t="s">
        <v>72</v>
      </c>
      <c r="E32" s="73">
        <f>IF((H26-H31)&lt;0,0,(H26-H31))</f>
        <v>5460110</v>
      </c>
      <c r="F32" s="74" t="s">
        <v>73</v>
      </c>
      <c r="G32" s="75"/>
      <c r="H32" s="76">
        <f>ROUND((E32/10),0)*10</f>
        <v>5460110</v>
      </c>
      <c r="I32" s="77"/>
      <c r="K32" s="70" t="s">
        <v>74</v>
      </c>
      <c r="L32" s="71">
        <v>0.2</v>
      </c>
      <c r="M32" s="9">
        <f>500000*20%</f>
        <v>100000</v>
      </c>
    </row>
    <row r="33" spans="1:14" ht="15" customHeight="1" thickTop="1" x14ac:dyDescent="0.25">
      <c r="A33" s="18"/>
      <c r="B33" s="66" t="s">
        <v>75</v>
      </c>
      <c r="E33" s="78" t="s">
        <v>76</v>
      </c>
      <c r="F33" s="79" t="s">
        <v>77</v>
      </c>
      <c r="G33" s="78" t="s">
        <v>78</v>
      </c>
      <c r="H33" s="80"/>
      <c r="I33" s="81"/>
      <c r="K33" s="70" t="s">
        <v>79</v>
      </c>
      <c r="L33" s="71">
        <v>0.3</v>
      </c>
      <c r="M33" s="9">
        <f>ROUND((E34-1000000)*30%,0)</f>
        <v>1923033</v>
      </c>
    </row>
    <row r="34" spans="1:14" ht="15" customHeight="1" thickBot="1" x14ac:dyDescent="0.3">
      <c r="A34" s="18"/>
      <c r="B34" s="82"/>
      <c r="C34" s="9" t="s">
        <v>80</v>
      </c>
      <c r="E34" s="16">
        <f>H32+M19</f>
        <v>7410110</v>
      </c>
      <c r="F34" s="83"/>
      <c r="G34" s="9">
        <f>IF(+I2="Sr",ROUND(IF(E34&gt;1000000,(((E34-1000000)*0.3)+110000),IF(E34&gt;500000,(((E34-500000)*0.2)+10000),IF(E34&gt;300000,((E34-300000)*0.05),0))),0),ROUND(IF(E34&gt;1000000,(((E34-1000000)*0.3)+112500),IF(E34&gt;500000,(((E34-500000)*0.2)+12500),IF(E34&gt;250000,((E34-250000)*0.05),0))),0))</f>
        <v>2035533</v>
      </c>
      <c r="H34" s="80"/>
      <c r="I34" s="81"/>
      <c r="M34" s="84">
        <f>SUM(M31:M33)</f>
        <v>2035533</v>
      </c>
    </row>
    <row r="35" spans="1:14" ht="15" customHeight="1" thickTop="1" x14ac:dyDescent="0.25">
      <c r="A35" s="18"/>
      <c r="B35" s="85"/>
      <c r="C35" s="9" t="s">
        <v>81</v>
      </c>
      <c r="E35" s="57">
        <f>M19+250000</f>
        <v>2200000</v>
      </c>
      <c r="F35" s="86" t="s">
        <v>82</v>
      </c>
      <c r="G35" s="69">
        <f>+M39</f>
        <v>472500</v>
      </c>
      <c r="H35" s="87"/>
      <c r="I35" s="88"/>
      <c r="K35" s="67" t="s">
        <v>83</v>
      </c>
    </row>
    <row r="36" spans="1:14" ht="15" customHeight="1" x14ac:dyDescent="0.25">
      <c r="A36" s="18"/>
      <c r="D36" s="83"/>
      <c r="E36" s="8"/>
      <c r="G36" s="45">
        <f>G34-G35</f>
        <v>1563033</v>
      </c>
      <c r="H36" s="89"/>
      <c r="I36" s="90"/>
      <c r="K36" s="70" t="s">
        <v>71</v>
      </c>
      <c r="L36" s="71">
        <v>0.05</v>
      </c>
      <c r="M36" s="9">
        <f>250000*5%</f>
        <v>12500</v>
      </c>
    </row>
    <row r="37" spans="1:14" ht="15" customHeight="1" x14ac:dyDescent="0.25">
      <c r="A37" s="18"/>
      <c r="B37" s="35" t="s">
        <v>84</v>
      </c>
      <c r="C37" s="35" t="s">
        <v>85</v>
      </c>
      <c r="D37" s="83"/>
      <c r="E37" s="8"/>
      <c r="G37" s="91"/>
      <c r="H37" s="92">
        <f>G36-G37</f>
        <v>1563033</v>
      </c>
      <c r="I37" s="93"/>
      <c r="K37" s="70" t="s">
        <v>74</v>
      </c>
      <c r="L37" s="71">
        <v>0.2</v>
      </c>
      <c r="M37" s="9">
        <f>500000*20%</f>
        <v>100000</v>
      </c>
    </row>
    <row r="38" spans="1:14" ht="15" customHeight="1" x14ac:dyDescent="0.25">
      <c r="A38" s="18"/>
      <c r="B38" s="9" t="s">
        <v>86</v>
      </c>
      <c r="C38" s="35"/>
      <c r="D38" s="83"/>
      <c r="E38" s="8"/>
      <c r="G38" s="94">
        <v>0.1</v>
      </c>
      <c r="H38" s="95">
        <f>IF(H32&gt;10000000,H37*15%,IF(H32&gt;5000000,H37*10%,0))</f>
        <v>156303.30000000002</v>
      </c>
      <c r="I38" s="96"/>
      <c r="K38" s="70" t="s">
        <v>79</v>
      </c>
      <c r="L38" s="71">
        <v>0.3</v>
      </c>
      <c r="M38" s="9">
        <f>ROUND((2200000-1000000)*30%,0)</f>
        <v>360000</v>
      </c>
    </row>
    <row r="39" spans="1:14" ht="15" customHeight="1" thickBot="1" x14ac:dyDescent="0.3">
      <c r="A39" s="18"/>
      <c r="C39" s="35"/>
      <c r="D39" s="83"/>
      <c r="E39" s="8"/>
      <c r="G39" s="45"/>
      <c r="H39" s="92">
        <f>H37+H38</f>
        <v>1719336.3</v>
      </c>
      <c r="I39" s="93"/>
      <c r="M39" s="84">
        <f>SUM(M36:M38)</f>
        <v>472500</v>
      </c>
    </row>
    <row r="40" spans="1:14" ht="15" customHeight="1" thickTop="1" thickBot="1" x14ac:dyDescent="0.3">
      <c r="A40" s="18"/>
      <c r="B40" s="35" t="s">
        <v>87</v>
      </c>
      <c r="D40" s="83"/>
      <c r="E40" s="8"/>
      <c r="G40" s="94">
        <v>0.04</v>
      </c>
      <c r="H40" s="95">
        <f>ROUND((H39)*0.04,0)</f>
        <v>68773</v>
      </c>
      <c r="I40" s="96"/>
    </row>
    <row r="41" spans="1:14" ht="15" customHeight="1" x14ac:dyDescent="0.25">
      <c r="A41" s="18"/>
      <c r="B41" s="66" t="s">
        <v>88</v>
      </c>
      <c r="D41" s="83"/>
      <c r="E41" s="74"/>
      <c r="G41" s="8"/>
      <c r="H41" s="89">
        <f>SUM(H39:H40)</f>
        <v>1788109.3</v>
      </c>
      <c r="I41" s="90"/>
      <c r="J41" s="97"/>
      <c r="K41" s="98" t="s">
        <v>89</v>
      </c>
      <c r="L41" s="99"/>
      <c r="M41" s="100"/>
    </row>
    <row r="42" spans="1:14" ht="15" customHeight="1" x14ac:dyDescent="0.3">
      <c r="A42" s="18"/>
      <c r="B42" s="35" t="s">
        <v>90</v>
      </c>
      <c r="D42" s="83"/>
      <c r="E42" s="101" t="s">
        <v>91</v>
      </c>
      <c r="G42" s="102"/>
      <c r="H42" s="89">
        <f>+H77</f>
        <v>10070</v>
      </c>
      <c r="I42" s="90"/>
      <c r="J42" s="97"/>
      <c r="K42" s="103"/>
      <c r="L42" s="104"/>
      <c r="M42" s="105"/>
    </row>
    <row r="43" spans="1:14" ht="15" customHeight="1" x14ac:dyDescent="0.25">
      <c r="A43" s="68">
        <f>+A31</f>
        <v>0</v>
      </c>
      <c r="B43" s="35" t="s">
        <v>92</v>
      </c>
      <c r="C43" s="8"/>
      <c r="D43" s="8"/>
      <c r="E43" s="8"/>
      <c r="G43" s="102" t="s">
        <v>93</v>
      </c>
      <c r="H43" s="106"/>
      <c r="I43" s="107"/>
      <c r="J43" s="97"/>
      <c r="K43" s="278" t="s">
        <v>94</v>
      </c>
      <c r="L43" s="279"/>
      <c r="M43" s="280"/>
    </row>
    <row r="44" spans="1:14" ht="15" customHeight="1" x14ac:dyDescent="0.25">
      <c r="A44" s="18"/>
      <c r="B44" s="66" t="s">
        <v>95</v>
      </c>
      <c r="C44" s="8"/>
      <c r="D44" s="8"/>
      <c r="E44" s="8"/>
      <c r="F44" s="8"/>
      <c r="G44" s="8"/>
      <c r="H44" s="42">
        <f>H41+H43+H42</f>
        <v>1798179.3</v>
      </c>
      <c r="I44" s="23"/>
      <c r="J44" s="35"/>
      <c r="K44" s="103"/>
      <c r="L44" s="104">
        <v>1950000</v>
      </c>
      <c r="M44" s="105"/>
    </row>
    <row r="45" spans="1:14" ht="15" customHeight="1" thickBot="1" x14ac:dyDescent="0.3">
      <c r="A45" s="18"/>
      <c r="B45" s="12" t="s">
        <v>96</v>
      </c>
      <c r="C45" s="8"/>
      <c r="D45" s="8"/>
      <c r="E45" s="8"/>
      <c r="F45" s="8"/>
      <c r="G45" s="8"/>
      <c r="H45" s="42"/>
      <c r="I45" s="23"/>
      <c r="K45" s="108"/>
      <c r="L45" s="109">
        <v>472500</v>
      </c>
      <c r="M45" s="110"/>
    </row>
    <row r="46" spans="1:14" ht="15" customHeight="1" x14ac:dyDescent="0.3">
      <c r="A46" s="18"/>
      <c r="B46" s="111">
        <v>44286</v>
      </c>
      <c r="C46" s="281" t="s">
        <v>97</v>
      </c>
      <c r="D46" s="281"/>
      <c r="E46" s="112"/>
      <c r="F46" s="112"/>
      <c r="G46" s="57">
        <v>80000</v>
      </c>
      <c r="H46" s="42"/>
      <c r="I46" s="23"/>
      <c r="K46" s="113" t="s">
        <v>98</v>
      </c>
      <c r="L46" s="114" t="s">
        <v>99</v>
      </c>
      <c r="M46" s="9" t="s">
        <v>100</v>
      </c>
    </row>
    <row r="47" spans="1:14" ht="15" customHeight="1" x14ac:dyDescent="0.3">
      <c r="A47" s="18"/>
      <c r="B47" s="115"/>
      <c r="C47" s="281" t="s">
        <v>101</v>
      </c>
      <c r="D47" s="281"/>
      <c r="E47" s="112" t="s">
        <v>102</v>
      </c>
      <c r="F47" s="116"/>
      <c r="G47" s="57">
        <v>1650000</v>
      </c>
      <c r="H47" s="42"/>
      <c r="I47" s="23"/>
      <c r="K47" s="9" t="s">
        <v>103</v>
      </c>
      <c r="L47" s="117">
        <v>800000</v>
      </c>
      <c r="M47" s="118">
        <v>2800000</v>
      </c>
      <c r="N47" s="119"/>
    </row>
    <row r="48" spans="1:14" ht="15" customHeight="1" x14ac:dyDescent="0.25">
      <c r="A48" s="18"/>
      <c r="B48" s="111">
        <v>44379</v>
      </c>
      <c r="C48" s="9" t="s">
        <v>104</v>
      </c>
      <c r="G48" s="57">
        <v>48000</v>
      </c>
      <c r="H48" s="42">
        <f>SUM(G46:G48)</f>
        <v>1778000</v>
      </c>
      <c r="I48" s="23"/>
      <c r="K48" s="9" t="s">
        <v>105</v>
      </c>
      <c r="L48" s="117">
        <v>110000</v>
      </c>
      <c r="M48" s="118">
        <v>3800000</v>
      </c>
    </row>
    <row r="49" spans="1:13" ht="15" customHeight="1" thickBot="1" x14ac:dyDescent="0.3">
      <c r="A49" s="120"/>
      <c r="B49" s="121" t="str">
        <f>IF(H49=0,"TAX  PAYABLE / REFUND ",IF(H49&lt;0,"REFUND","TAX  PAYABLE INCLUDING INTT"))</f>
        <v>TAX  PAYABLE INCLUDING INTT</v>
      </c>
      <c r="C49" s="121"/>
      <c r="D49" s="122"/>
      <c r="E49" s="122"/>
      <c r="F49" s="123" t="s">
        <v>106</v>
      </c>
      <c r="G49" s="124"/>
      <c r="H49" s="125">
        <f>ROUND((H44-H48)/10,0)*10</f>
        <v>20180</v>
      </c>
      <c r="I49" s="126"/>
      <c r="K49" s="9" t="s">
        <v>107</v>
      </c>
      <c r="L49" s="117">
        <v>4390000</v>
      </c>
      <c r="M49" s="118"/>
    </row>
    <row r="50" spans="1:13" ht="15" customHeight="1" x14ac:dyDescent="0.25">
      <c r="A50" s="282" t="s">
        <v>108</v>
      </c>
      <c r="B50" s="283"/>
      <c r="C50" s="283"/>
      <c r="D50" s="283"/>
      <c r="E50" s="283"/>
      <c r="F50" s="283"/>
      <c r="G50" s="283"/>
      <c r="H50" s="283"/>
      <c r="I50" s="284"/>
      <c r="K50" s="35" t="s">
        <v>109</v>
      </c>
      <c r="L50" s="117">
        <v>38100</v>
      </c>
      <c r="M50" s="127"/>
    </row>
    <row r="51" spans="1:13" ht="15" customHeight="1" thickBot="1" x14ac:dyDescent="0.3">
      <c r="A51" s="258">
        <v>44521</v>
      </c>
      <c r="B51" s="259"/>
      <c r="C51" s="128" t="s">
        <v>110</v>
      </c>
      <c r="D51" s="129"/>
      <c r="E51" s="130" t="s">
        <v>111</v>
      </c>
      <c r="F51" s="260" t="s">
        <v>112</v>
      </c>
      <c r="G51" s="260"/>
      <c r="H51" s="260"/>
      <c r="I51" s="261"/>
      <c r="L51" s="131">
        <f>SUM(L47:L50)</f>
        <v>5338100</v>
      </c>
    </row>
    <row r="52" spans="1:13" ht="15" customHeight="1" x14ac:dyDescent="0.25">
      <c r="A52" s="132"/>
      <c r="B52" s="133"/>
      <c r="C52" s="133"/>
      <c r="D52" s="133"/>
      <c r="E52" s="133"/>
      <c r="F52" s="134" t="s">
        <v>113</v>
      </c>
      <c r="G52" s="133"/>
      <c r="H52" s="133"/>
      <c r="I52" s="133"/>
    </row>
    <row r="53" spans="1:13" ht="15" customHeight="1" x14ac:dyDescent="0.25">
      <c r="C53" s="135"/>
      <c r="G53" s="136"/>
      <c r="H53" s="136"/>
    </row>
    <row r="54" spans="1:13" ht="15" customHeight="1" x14ac:dyDescent="0.25">
      <c r="C54" s="137"/>
      <c r="D54" s="35" t="s">
        <v>114</v>
      </c>
      <c r="E54" s="35">
        <v>1950000</v>
      </c>
      <c r="F54" s="39" t="s">
        <v>115</v>
      </c>
      <c r="G54" s="39"/>
      <c r="H54" s="138">
        <f>+G7-M6</f>
        <v>5871000</v>
      </c>
      <c r="K54" s="9" t="s">
        <v>80</v>
      </c>
      <c r="L54" s="16">
        <f>+E54+H57</f>
        <v>7938110</v>
      </c>
      <c r="M54" s="9">
        <v>2121933</v>
      </c>
    </row>
    <row r="55" spans="1:13" ht="15" customHeight="1" x14ac:dyDescent="0.25">
      <c r="C55" s="139"/>
      <c r="D55" s="35"/>
      <c r="E55" s="35"/>
      <c r="F55" s="20" t="s">
        <v>116</v>
      </c>
      <c r="G55" s="20"/>
      <c r="H55" s="140">
        <v>0</v>
      </c>
      <c r="K55" s="9" t="s">
        <v>81</v>
      </c>
      <c r="L55" s="9">
        <f>E54+250000</f>
        <v>2200000</v>
      </c>
      <c r="M55" s="9">
        <v>397500</v>
      </c>
    </row>
    <row r="56" spans="1:13" ht="15" customHeight="1" x14ac:dyDescent="0.25">
      <c r="D56" s="35"/>
      <c r="E56" s="35"/>
      <c r="F56" s="141" t="s">
        <v>117</v>
      </c>
      <c r="G56" s="141"/>
      <c r="H56" s="142">
        <f>+H24</f>
        <v>117110</v>
      </c>
    </row>
    <row r="57" spans="1:13" ht="15" customHeight="1" thickBot="1" x14ac:dyDescent="0.3">
      <c r="D57" s="35"/>
      <c r="E57" s="35"/>
      <c r="F57" s="143"/>
      <c r="G57" s="144" t="s">
        <v>118</v>
      </c>
      <c r="H57" s="145">
        <f>SUM(H54:H56)</f>
        <v>5988110</v>
      </c>
    </row>
    <row r="58" spans="1:13" ht="15" customHeight="1" thickTop="1" x14ac:dyDescent="0.25">
      <c r="D58" s="35"/>
      <c r="E58" s="35"/>
      <c r="F58" s="35"/>
      <c r="G58" s="146"/>
      <c r="H58" s="140"/>
    </row>
    <row r="59" spans="1:13" ht="15" customHeight="1" x14ac:dyDescent="0.25">
      <c r="D59" s="35"/>
      <c r="E59" s="20" t="s">
        <v>119</v>
      </c>
      <c r="F59" s="32">
        <f>+M54</f>
        <v>2121933</v>
      </c>
      <c r="G59" s="147">
        <f>+M55</f>
        <v>397500</v>
      </c>
      <c r="H59" s="140">
        <f>F59-G59</f>
        <v>1724433</v>
      </c>
    </row>
    <row r="60" spans="1:13" ht="15" customHeight="1" x14ac:dyDescent="0.25">
      <c r="D60" s="35"/>
      <c r="E60" s="35" t="s">
        <v>120</v>
      </c>
      <c r="F60" s="20"/>
      <c r="G60" s="146"/>
      <c r="H60" s="142">
        <f>ROUND(H59*0.1,0)</f>
        <v>172443</v>
      </c>
    </row>
    <row r="61" spans="1:13" ht="15" customHeight="1" x14ac:dyDescent="0.25">
      <c r="D61" s="35"/>
      <c r="E61" s="35"/>
      <c r="F61" s="148"/>
      <c r="G61" s="35"/>
      <c r="H61" s="140">
        <f>SUM(H59:H60)</f>
        <v>1896876</v>
      </c>
    </row>
    <row r="62" spans="1:13" ht="15" customHeight="1" x14ac:dyDescent="0.25">
      <c r="D62" s="35"/>
      <c r="E62" s="20" t="s">
        <v>121</v>
      </c>
      <c r="F62" s="35"/>
      <c r="G62" s="35"/>
      <c r="H62" s="35">
        <f>ROUND(H61*4%,0)</f>
        <v>75875</v>
      </c>
    </row>
    <row r="63" spans="1:13" ht="15" customHeight="1" thickBot="1" x14ac:dyDescent="0.3">
      <c r="D63" s="35"/>
      <c r="E63" s="149" t="s">
        <v>122</v>
      </c>
      <c r="F63" s="145"/>
      <c r="G63" s="143"/>
      <c r="H63" s="143">
        <f>SUM(H61:H62)</f>
        <v>1972751</v>
      </c>
    </row>
    <row r="64" spans="1:13" ht="15" customHeight="1" thickTop="1" x14ac:dyDescent="0.25">
      <c r="E64" s="262" t="s">
        <v>113</v>
      </c>
      <c r="F64" s="263"/>
      <c r="G64" s="264"/>
      <c r="H64" s="150"/>
    </row>
    <row r="65" spans="2:14" ht="15" customHeight="1" x14ac:dyDescent="0.25">
      <c r="E65" s="151" t="s">
        <v>123</v>
      </c>
      <c r="F65" s="152"/>
      <c r="G65" s="153" t="s">
        <v>37</v>
      </c>
      <c r="H65" s="150"/>
    </row>
    <row r="66" spans="2:14" ht="15" customHeight="1" x14ac:dyDescent="0.25">
      <c r="E66" s="151" t="s">
        <v>124</v>
      </c>
      <c r="F66" s="152"/>
      <c r="G66" s="154">
        <v>0.05</v>
      </c>
    </row>
    <row r="67" spans="2:14" ht="15" customHeight="1" x14ac:dyDescent="0.25">
      <c r="E67" s="151" t="s">
        <v>125</v>
      </c>
      <c r="F67" s="152"/>
      <c r="G67" s="154">
        <v>0.1</v>
      </c>
    </row>
    <row r="68" spans="2:14" ht="15" customHeight="1" x14ac:dyDescent="0.25">
      <c r="E68" s="151" t="s">
        <v>126</v>
      </c>
      <c r="F68" s="152"/>
      <c r="G68" s="154">
        <v>0.15</v>
      </c>
    </row>
    <row r="69" spans="2:14" ht="15" customHeight="1" x14ac:dyDescent="0.25">
      <c r="E69" s="151" t="s">
        <v>127</v>
      </c>
      <c r="F69" s="152"/>
      <c r="G69" s="154">
        <v>0.2</v>
      </c>
    </row>
    <row r="70" spans="2:14" ht="15" customHeight="1" x14ac:dyDescent="0.25">
      <c r="E70" s="151" t="s">
        <v>128</v>
      </c>
      <c r="F70" s="152"/>
      <c r="G70" s="154">
        <v>0.25</v>
      </c>
    </row>
    <row r="71" spans="2:14" ht="15" customHeight="1" x14ac:dyDescent="0.25">
      <c r="E71" s="151" t="s">
        <v>129</v>
      </c>
      <c r="F71" s="152"/>
      <c r="G71" s="154">
        <v>0.3</v>
      </c>
    </row>
    <row r="72" spans="2:14" ht="15" customHeight="1" x14ac:dyDescent="0.25">
      <c r="B72" s="155" t="s">
        <v>130</v>
      </c>
      <c r="C72" s="39" t="s">
        <v>131</v>
      </c>
      <c r="E72" s="265" t="s">
        <v>132</v>
      </c>
      <c r="F72" s="266"/>
      <c r="G72" s="267"/>
    </row>
    <row r="73" spans="2:14" ht="15" customHeight="1" x14ac:dyDescent="0.25">
      <c r="B73" s="155" t="s">
        <v>133</v>
      </c>
      <c r="C73" s="156" t="s">
        <v>134</v>
      </c>
      <c r="E73" s="268" t="s">
        <v>135</v>
      </c>
      <c r="F73" s="269"/>
      <c r="G73" s="270"/>
    </row>
    <row r="74" spans="2:14" ht="15" customHeight="1" x14ac:dyDescent="0.25">
      <c r="B74" s="157" t="s">
        <v>136</v>
      </c>
      <c r="C74" s="156" t="s">
        <v>137</v>
      </c>
      <c r="E74" s="271" t="s">
        <v>138</v>
      </c>
      <c r="F74" s="272"/>
      <c r="G74" s="273"/>
    </row>
    <row r="75" spans="2:14" ht="15" customHeight="1" thickBot="1" x14ac:dyDescent="0.3">
      <c r="B75" s="157" t="s">
        <v>139</v>
      </c>
      <c r="C75" s="156" t="s">
        <v>140</v>
      </c>
      <c r="E75" s="250" t="s">
        <v>141</v>
      </c>
      <c r="F75" s="251"/>
      <c r="G75" s="252"/>
    </row>
    <row r="77" spans="2:14" ht="15" customHeight="1" x14ac:dyDescent="0.25">
      <c r="B77" s="158" t="s">
        <v>142</v>
      </c>
      <c r="C77" s="159"/>
      <c r="D77" s="159"/>
      <c r="E77" s="159"/>
      <c r="F77" s="159"/>
      <c r="G77" s="160" t="s">
        <v>143</v>
      </c>
      <c r="H77" s="161">
        <f>+H89+H101+H111</f>
        <v>10070</v>
      </c>
      <c r="N77" s="162"/>
    </row>
    <row r="78" spans="2:14" ht="15" customHeight="1" x14ac:dyDescent="0.25">
      <c r="B78" s="163" t="s">
        <v>144</v>
      </c>
      <c r="C78" s="164"/>
      <c r="D78" s="164"/>
      <c r="E78" s="164"/>
      <c r="F78" s="164"/>
      <c r="G78" s="165"/>
      <c r="H78" s="166"/>
      <c r="M78" s="16"/>
      <c r="N78" s="162"/>
    </row>
    <row r="79" spans="2:14" ht="15" customHeight="1" x14ac:dyDescent="0.25">
      <c r="B79" s="43" t="s">
        <v>145</v>
      </c>
      <c r="C79" s="164"/>
      <c r="D79" s="164"/>
      <c r="E79" s="16"/>
      <c r="G79" s="167"/>
      <c r="H79" s="16">
        <f>ROUND(+H41,0)</f>
        <v>1788109</v>
      </c>
    </row>
    <row r="80" spans="2:14" ht="15" customHeight="1" x14ac:dyDescent="0.25">
      <c r="B80" s="43" t="s">
        <v>146</v>
      </c>
      <c r="C80" s="164"/>
      <c r="D80" s="164"/>
      <c r="E80" s="16"/>
      <c r="G80" s="167"/>
      <c r="H80" s="16">
        <f>+G47*-1</f>
        <v>-1650000</v>
      </c>
    </row>
    <row r="81" spans="1:13" ht="15" customHeight="1" thickBot="1" x14ac:dyDescent="0.3">
      <c r="B81" s="43" t="s">
        <v>147</v>
      </c>
      <c r="C81" s="164"/>
      <c r="D81" s="164"/>
      <c r="E81" s="16"/>
      <c r="G81" s="167"/>
      <c r="H81" s="131">
        <f>H79+H80</f>
        <v>138109</v>
      </c>
    </row>
    <row r="82" spans="1:13" ht="15" customHeight="1" thickTop="1" x14ac:dyDescent="0.25">
      <c r="C82" s="164"/>
      <c r="D82" s="164"/>
      <c r="E82" s="16"/>
      <c r="G82" s="168">
        <f>IF(G81&gt;10000,G81,0)</f>
        <v>0</v>
      </c>
      <c r="H82" s="9">
        <f>+H81</f>
        <v>138109</v>
      </c>
    </row>
    <row r="83" spans="1:13" ht="19.8" customHeight="1" x14ac:dyDescent="0.25">
      <c r="B83" s="169" t="s">
        <v>148</v>
      </c>
      <c r="C83" s="170" t="s">
        <v>149</v>
      </c>
      <c r="D83" s="170" t="s">
        <v>150</v>
      </c>
      <c r="E83" s="170" t="s">
        <v>151</v>
      </c>
      <c r="F83" s="171" t="s">
        <v>152</v>
      </c>
      <c r="G83" s="172" t="s">
        <v>153</v>
      </c>
      <c r="H83" s="170" t="s">
        <v>154</v>
      </c>
    </row>
    <row r="84" spans="1:13" ht="15" customHeight="1" x14ac:dyDescent="0.25">
      <c r="A84" s="173">
        <v>1</v>
      </c>
      <c r="B84" s="174"/>
      <c r="C84" s="175"/>
      <c r="D84" s="174">
        <v>43997</v>
      </c>
      <c r="E84" s="167">
        <f>(H82*0.15)</f>
        <v>20716.349999999999</v>
      </c>
      <c r="F84" s="167">
        <f>ROUNDDOWN(+E84,-2)</f>
        <v>20700</v>
      </c>
      <c r="G84" s="167">
        <f>(F84-C84)</f>
        <v>20700</v>
      </c>
      <c r="H84" s="176">
        <f>IF(G84&gt;0,G84*0.12/12*3,0)</f>
        <v>621</v>
      </c>
      <c r="I84" s="253" t="s">
        <v>155</v>
      </c>
      <c r="J84" s="253"/>
      <c r="K84" s="177" t="s">
        <v>156</v>
      </c>
      <c r="M84" s="16"/>
    </row>
    <row r="85" spans="1:13" ht="15" customHeight="1" x14ac:dyDescent="0.25">
      <c r="A85" s="173">
        <v>2</v>
      </c>
      <c r="C85" s="175">
        <f>+G53</f>
        <v>0</v>
      </c>
      <c r="D85" s="174">
        <v>44089</v>
      </c>
      <c r="E85" s="167">
        <f>H82*0.45</f>
        <v>62149.05</v>
      </c>
      <c r="F85" s="167">
        <f>ROUNDDOWN(+E85,-2)</f>
        <v>62100</v>
      </c>
      <c r="G85" s="167">
        <f>(F85-C85-C84)</f>
        <v>62100</v>
      </c>
      <c r="H85" s="176">
        <f>IF(G85&gt;0,G85*0.12/12*3,0)</f>
        <v>1863</v>
      </c>
      <c r="J85" s="178"/>
      <c r="K85" s="179"/>
      <c r="L85" s="9">
        <f>L83-L84</f>
        <v>0</v>
      </c>
    </row>
    <row r="86" spans="1:13" ht="15" customHeight="1" x14ac:dyDescent="0.25">
      <c r="A86" s="173">
        <v>3</v>
      </c>
      <c r="B86" s="174"/>
      <c r="C86" s="175"/>
      <c r="D86" s="174">
        <v>44180</v>
      </c>
      <c r="E86" s="167">
        <f>H82*0.75</f>
        <v>103581.75</v>
      </c>
      <c r="F86" s="167">
        <f>ROUNDDOWN(+E86,-2)</f>
        <v>103500</v>
      </c>
      <c r="G86" s="167">
        <f>(F86-(C84+C85+C86))</f>
        <v>103500</v>
      </c>
      <c r="H86" s="176">
        <f>IF(G86&gt;0,G86*0.12/12*3,0)</f>
        <v>3105</v>
      </c>
      <c r="J86" s="178" t="s">
        <v>157</v>
      </c>
      <c r="K86" s="179">
        <f>+H89</f>
        <v>6970</v>
      </c>
    </row>
    <row r="87" spans="1:13" ht="15" customHeight="1" x14ac:dyDescent="0.25">
      <c r="A87" s="173">
        <v>4</v>
      </c>
      <c r="B87" s="174"/>
      <c r="C87" s="175"/>
      <c r="D87" s="174">
        <v>44270</v>
      </c>
      <c r="E87" s="167">
        <f>H82*1</f>
        <v>138109</v>
      </c>
      <c r="F87" s="167">
        <f>ROUNDDOWN(+E87,-2)</f>
        <v>138100</v>
      </c>
      <c r="G87" s="167">
        <f>(F87-(C84+C85+C86+C87))</f>
        <v>138100</v>
      </c>
      <c r="H87" s="176">
        <f>IF(G87&gt;0,G87*0.12/12,0)</f>
        <v>1381</v>
      </c>
      <c r="J87" s="178" t="s">
        <v>158</v>
      </c>
      <c r="K87" s="179">
        <f>+K86</f>
        <v>6970</v>
      </c>
      <c r="L87" s="8"/>
    </row>
    <row r="88" spans="1:13" ht="15" customHeight="1" x14ac:dyDescent="0.25">
      <c r="A88" s="173">
        <v>5</v>
      </c>
      <c r="B88" s="174">
        <v>44286</v>
      </c>
      <c r="C88" s="175">
        <v>80000</v>
      </c>
      <c r="D88" s="174">
        <v>44286</v>
      </c>
      <c r="F88" s="180"/>
      <c r="G88" s="181"/>
      <c r="H88" s="179"/>
      <c r="M88" s="16"/>
    </row>
    <row r="89" spans="1:13" ht="15" customHeight="1" thickBot="1" x14ac:dyDescent="0.3">
      <c r="B89" s="164"/>
      <c r="C89" s="182">
        <f>SUM(C84:C88)</f>
        <v>80000</v>
      </c>
      <c r="D89" s="164"/>
      <c r="E89" s="164"/>
      <c r="F89" s="164"/>
      <c r="G89" s="164"/>
      <c r="H89" s="183">
        <f>SUM(H84:H88)</f>
        <v>6970</v>
      </c>
      <c r="J89" s="8"/>
    </row>
    <row r="90" spans="1:13" ht="15" customHeight="1" thickTop="1" thickBot="1" x14ac:dyDescent="0.3">
      <c r="A90" s="184"/>
      <c r="B90" s="185"/>
      <c r="C90" s="186"/>
      <c r="D90" s="185"/>
      <c r="E90" s="185"/>
      <c r="F90" s="185"/>
      <c r="G90" s="185"/>
      <c r="H90" s="185"/>
      <c r="J90" s="8"/>
    </row>
    <row r="91" spans="1:13" ht="15" customHeight="1" x14ac:dyDescent="0.25">
      <c r="B91" s="163" t="s">
        <v>159</v>
      </c>
      <c r="C91" s="187"/>
      <c r="D91" s="164"/>
      <c r="E91" s="164"/>
      <c r="F91" s="164"/>
      <c r="G91" s="164"/>
      <c r="H91" s="188" t="s">
        <v>154</v>
      </c>
      <c r="J91" s="8"/>
    </row>
    <row r="92" spans="1:13" ht="15" customHeight="1" x14ac:dyDescent="0.25">
      <c r="B92" s="43" t="s">
        <v>145</v>
      </c>
      <c r="C92" s="164"/>
      <c r="D92" s="164"/>
      <c r="E92" s="167">
        <f>+H79</f>
        <v>1788109</v>
      </c>
      <c r="F92" s="164"/>
      <c r="G92" s="189">
        <v>44287</v>
      </c>
      <c r="H92" s="176">
        <f>F98*0.01</f>
        <v>581</v>
      </c>
      <c r="J92" s="8"/>
    </row>
    <row r="93" spans="1:13" ht="15" customHeight="1" x14ac:dyDescent="0.25">
      <c r="B93" s="190" t="s">
        <v>146</v>
      </c>
      <c r="C93" s="164"/>
      <c r="D93" s="164"/>
      <c r="E93" s="167">
        <f>+H80</f>
        <v>-1650000</v>
      </c>
      <c r="F93" s="164"/>
      <c r="G93" s="189">
        <v>44317</v>
      </c>
      <c r="H93" s="176">
        <f>+H92</f>
        <v>581</v>
      </c>
      <c r="J93" s="8"/>
    </row>
    <row r="94" spans="1:13" ht="15" customHeight="1" thickBot="1" x14ac:dyDescent="0.3">
      <c r="B94" s="190"/>
      <c r="C94" s="164"/>
      <c r="D94" s="164"/>
      <c r="E94" s="191">
        <f>E92+E93</f>
        <v>138109</v>
      </c>
      <c r="G94" s="189">
        <v>44348</v>
      </c>
      <c r="H94" s="176">
        <f>+H93</f>
        <v>581</v>
      </c>
      <c r="J94" s="8"/>
    </row>
    <row r="95" spans="1:13" ht="15" customHeight="1" thickTop="1" x14ac:dyDescent="0.25">
      <c r="F95" s="164"/>
      <c r="G95" s="189">
        <v>44378</v>
      </c>
      <c r="H95" s="176">
        <f>+H94</f>
        <v>581</v>
      </c>
      <c r="J95" s="8"/>
    </row>
    <row r="96" spans="1:13" ht="15" customHeight="1" x14ac:dyDescent="0.25">
      <c r="B96" s="164" t="s">
        <v>160</v>
      </c>
      <c r="C96" s="187"/>
      <c r="D96" s="192">
        <v>0.9</v>
      </c>
      <c r="E96" s="193">
        <f>ROUND(E94*90%,0)</f>
        <v>124298</v>
      </c>
      <c r="F96" s="164"/>
      <c r="G96" s="189">
        <v>44409</v>
      </c>
      <c r="H96" s="176">
        <f>F102*0.01</f>
        <v>194</v>
      </c>
      <c r="J96" s="8"/>
    </row>
    <row r="97" spans="1:11" ht="15" customHeight="1" x14ac:dyDescent="0.25">
      <c r="B97" s="164" t="s">
        <v>161</v>
      </c>
      <c r="C97" s="187"/>
      <c r="D97" s="164"/>
      <c r="E97" s="167">
        <f>ROUND(+C89,0)</f>
        <v>80000</v>
      </c>
      <c r="F97" s="164"/>
      <c r="G97" s="189">
        <v>44440</v>
      </c>
      <c r="H97" s="176">
        <f t="shared" ref="H97:H99" si="0">+H96</f>
        <v>194</v>
      </c>
      <c r="I97" s="254" t="s">
        <v>155</v>
      </c>
      <c r="J97" s="254"/>
      <c r="K97" s="194" t="s">
        <v>162</v>
      </c>
    </row>
    <row r="98" spans="1:11" ht="15" customHeight="1" x14ac:dyDescent="0.25">
      <c r="B98" s="9" t="s">
        <v>163</v>
      </c>
      <c r="C98" s="187"/>
      <c r="D98" s="164"/>
      <c r="E98" s="167">
        <f>E94-E97</f>
        <v>58109</v>
      </c>
      <c r="F98" s="167">
        <f>ROUNDDOWN(E98,-2)</f>
        <v>58100</v>
      </c>
      <c r="G98" s="189">
        <v>44470</v>
      </c>
      <c r="H98" s="176">
        <f t="shared" si="0"/>
        <v>194</v>
      </c>
      <c r="J98" s="195"/>
      <c r="K98" s="127"/>
    </row>
    <row r="99" spans="1:11" ht="15" customHeight="1" x14ac:dyDescent="0.25">
      <c r="B99" s="196">
        <f>+B48</f>
        <v>44379</v>
      </c>
      <c r="C99" s="164" t="s">
        <v>164</v>
      </c>
      <c r="D99" s="164"/>
      <c r="E99" s="197">
        <f>+G48</f>
        <v>48000</v>
      </c>
      <c r="F99" s="164"/>
      <c r="G99" s="189">
        <v>44501</v>
      </c>
      <c r="H99" s="176">
        <f t="shared" si="0"/>
        <v>194</v>
      </c>
      <c r="J99" s="195" t="s">
        <v>157</v>
      </c>
      <c r="K99" s="127">
        <f>+H101</f>
        <v>3100</v>
      </c>
    </row>
    <row r="100" spans="1:11" ht="15" customHeight="1" x14ac:dyDescent="0.25">
      <c r="C100" s="19" t="s">
        <v>165</v>
      </c>
      <c r="E100" s="198">
        <f>H89+H92*4</f>
        <v>9294</v>
      </c>
      <c r="F100" s="164"/>
      <c r="G100" s="189">
        <v>44531</v>
      </c>
      <c r="H100" s="199"/>
      <c r="J100" s="195" t="s">
        <v>158</v>
      </c>
      <c r="K100" s="127">
        <f>K99+F102*0.01</f>
        <v>3294</v>
      </c>
    </row>
    <row r="101" spans="1:11" ht="15" customHeight="1" thickBot="1" x14ac:dyDescent="0.3">
      <c r="C101" s="43" t="s">
        <v>166</v>
      </c>
      <c r="E101" s="200">
        <f>E99-E100</f>
        <v>38706</v>
      </c>
      <c r="F101" s="164"/>
      <c r="G101" s="164"/>
      <c r="H101" s="183">
        <f>SUM(H92:H100)</f>
        <v>3100</v>
      </c>
      <c r="J101" s="8"/>
    </row>
    <row r="102" spans="1:11" ht="15" customHeight="1" thickTop="1" x14ac:dyDescent="0.25">
      <c r="B102" s="9" t="s">
        <v>167</v>
      </c>
      <c r="C102" s="43"/>
      <c r="E102" s="201">
        <f>E98-E101</f>
        <v>19403</v>
      </c>
      <c r="F102" s="167">
        <f>ROUNDDOWN(E102,-2)</f>
        <v>19400</v>
      </c>
      <c r="G102" s="164"/>
      <c r="H102" s="199"/>
      <c r="J102" s="8"/>
    </row>
    <row r="103" spans="1:11" ht="15" customHeight="1" thickBot="1" x14ac:dyDescent="0.3">
      <c r="A103" s="184"/>
      <c r="B103" s="202"/>
      <c r="C103" s="203"/>
      <c r="D103" s="202"/>
      <c r="E103" s="204"/>
      <c r="F103" s="205"/>
      <c r="G103" s="185"/>
      <c r="H103" s="206"/>
      <c r="J103" s="8"/>
    </row>
    <row r="104" spans="1:11" ht="15" customHeight="1" x14ac:dyDescent="0.25">
      <c r="B104" s="163" t="s">
        <v>168</v>
      </c>
      <c r="C104" s="207"/>
      <c r="D104" s="207"/>
      <c r="E104" s="207"/>
      <c r="F104" s="207"/>
      <c r="G104" s="207"/>
      <c r="H104" s="207"/>
      <c r="I104" s="207"/>
      <c r="J104" s="199"/>
    </row>
    <row r="105" spans="1:11" ht="15" customHeight="1" x14ac:dyDescent="0.25">
      <c r="B105" s="43" t="s">
        <v>145</v>
      </c>
      <c r="C105" s="164"/>
      <c r="D105" s="164"/>
      <c r="E105" s="167"/>
      <c r="F105" s="207"/>
      <c r="G105" s="164"/>
      <c r="H105" s="188" t="s">
        <v>154</v>
      </c>
      <c r="I105" s="207"/>
      <c r="J105" s="199"/>
    </row>
    <row r="106" spans="1:11" ht="15" customHeight="1" x14ac:dyDescent="0.25">
      <c r="B106" s="190" t="s">
        <v>146</v>
      </c>
      <c r="C106" s="164"/>
      <c r="D106" s="164"/>
      <c r="E106" s="167"/>
      <c r="F106" s="207"/>
      <c r="G106" s="189">
        <v>44409</v>
      </c>
      <c r="H106" s="176">
        <f>F112*0.01</f>
        <v>0</v>
      </c>
      <c r="I106" s="207"/>
      <c r="J106" s="199"/>
    </row>
    <row r="107" spans="1:11" ht="15" customHeight="1" x14ac:dyDescent="0.25">
      <c r="B107" s="190" t="s">
        <v>169</v>
      </c>
      <c r="C107" s="164"/>
      <c r="D107" s="164"/>
      <c r="E107" s="201">
        <f>+G45*-1</f>
        <v>0</v>
      </c>
      <c r="F107" s="207"/>
      <c r="G107" s="189">
        <v>44440</v>
      </c>
      <c r="H107" s="176">
        <f>+H106</f>
        <v>0</v>
      </c>
      <c r="I107" s="255" t="s">
        <v>155</v>
      </c>
      <c r="J107" s="255"/>
      <c r="K107" s="208" t="s">
        <v>170</v>
      </c>
    </row>
    <row r="108" spans="1:11" ht="15" customHeight="1" x14ac:dyDescent="0.25">
      <c r="B108" s="190" t="s">
        <v>171</v>
      </c>
      <c r="C108" s="164"/>
      <c r="D108" s="164"/>
      <c r="E108" s="209"/>
      <c r="F108" s="207"/>
      <c r="G108" s="189">
        <v>44470</v>
      </c>
      <c r="H108" s="176">
        <f>+H107</f>
        <v>0</v>
      </c>
      <c r="I108" s="207"/>
      <c r="J108" s="210"/>
      <c r="K108" s="211"/>
    </row>
    <row r="109" spans="1:11" ht="15" customHeight="1" x14ac:dyDescent="0.25">
      <c r="B109" s="190"/>
      <c r="C109" s="164"/>
      <c r="D109" s="164"/>
      <c r="E109" s="209"/>
      <c r="F109" s="207"/>
      <c r="G109" s="189">
        <v>44501</v>
      </c>
      <c r="H109" s="176">
        <f>+H108</f>
        <v>0</v>
      </c>
      <c r="I109" s="207"/>
      <c r="J109" s="210" t="s">
        <v>157</v>
      </c>
      <c r="K109" s="211">
        <f>F112*0.04</f>
        <v>0</v>
      </c>
    </row>
    <row r="110" spans="1:11" ht="15" customHeight="1" x14ac:dyDescent="0.25">
      <c r="B110" s="190"/>
      <c r="C110" s="164"/>
      <c r="D110" s="164"/>
      <c r="E110" s="16"/>
      <c r="F110" s="207"/>
      <c r="G110" s="189">
        <v>44531</v>
      </c>
      <c r="H110" s="176"/>
      <c r="I110" s="207"/>
      <c r="J110" s="210" t="s">
        <v>158</v>
      </c>
      <c r="K110" s="211">
        <f>F112*0.05</f>
        <v>0</v>
      </c>
    </row>
    <row r="111" spans="1:11" ht="15" customHeight="1" thickBot="1" x14ac:dyDescent="0.3">
      <c r="E111" s="191">
        <f>SUM(E105:E110)</f>
        <v>0</v>
      </c>
      <c r="F111" s="207"/>
      <c r="G111" s="212"/>
      <c r="H111" s="183">
        <f>SUM(H106:H110)</f>
        <v>0</v>
      </c>
      <c r="I111" s="207"/>
      <c r="J111" s="199"/>
    </row>
    <row r="112" spans="1:11" ht="15" customHeight="1" thickTop="1" x14ac:dyDescent="0.25">
      <c r="C112" s="164"/>
      <c r="D112" s="164"/>
      <c r="E112" s="167">
        <f>ROUNDDOWN(+E111,-2)</f>
        <v>0</v>
      </c>
      <c r="F112" s="167">
        <f>ROUNDDOWN(E112,-2)</f>
        <v>0</v>
      </c>
      <c r="G112" s="207"/>
      <c r="H112" s="207"/>
      <c r="I112" s="207"/>
      <c r="J112" s="199"/>
    </row>
    <row r="113" spans="1:12" ht="15" customHeight="1" x14ac:dyDescent="0.25">
      <c r="C113" s="164"/>
      <c r="D113" s="164"/>
      <c r="E113" s="167"/>
      <c r="F113" s="167"/>
      <c r="G113" s="207"/>
      <c r="H113" s="207"/>
      <c r="I113" s="207"/>
      <c r="J113" s="199"/>
    </row>
    <row r="114" spans="1:12" ht="15" customHeight="1" thickBot="1" x14ac:dyDescent="0.3">
      <c r="C114" s="164"/>
      <c r="D114" s="164"/>
      <c r="E114" s="167"/>
      <c r="F114" s="207"/>
      <c r="G114" s="207"/>
      <c r="H114" s="207"/>
      <c r="I114" s="207"/>
      <c r="J114" s="199"/>
    </row>
    <row r="115" spans="1:12" s="35" customFormat="1" ht="15" customHeight="1" x14ac:dyDescent="0.25">
      <c r="A115" s="213" t="s">
        <v>172</v>
      </c>
      <c r="B115" s="214"/>
      <c r="C115" s="214"/>
      <c r="D115" s="214"/>
      <c r="E115" s="214"/>
      <c r="F115" s="214"/>
      <c r="G115" s="256" t="s">
        <v>173</v>
      </c>
      <c r="H115" s="257"/>
      <c r="J115" s="148"/>
      <c r="K115" s="215"/>
      <c r="L115" s="43"/>
    </row>
    <row r="116" spans="1:12" s="35" customFormat="1" ht="15" customHeight="1" x14ac:dyDescent="0.25">
      <c r="A116" s="216" t="s">
        <v>174</v>
      </c>
      <c r="H116" s="81"/>
      <c r="J116" s="148"/>
      <c r="K116" s="67"/>
      <c r="L116" s="43"/>
    </row>
    <row r="117" spans="1:12" s="35" customFormat="1" ht="15" customHeight="1" x14ac:dyDescent="0.25">
      <c r="A117" s="216" t="s">
        <v>175</v>
      </c>
      <c r="H117" s="81"/>
      <c r="J117" s="148"/>
      <c r="K117" s="67"/>
      <c r="L117" s="43"/>
    </row>
    <row r="118" spans="1:12" s="35" customFormat="1" ht="15" customHeight="1" x14ac:dyDescent="0.2">
      <c r="A118" s="217" t="s">
        <v>176</v>
      </c>
      <c r="B118" s="246" t="s">
        <v>177</v>
      </c>
      <c r="C118" s="246"/>
      <c r="D118" s="246"/>
      <c r="E118" s="246"/>
      <c r="F118" s="246"/>
      <c r="G118" s="246"/>
      <c r="H118" s="247"/>
      <c r="I118" s="20"/>
      <c r="J118" s="148"/>
      <c r="K118" s="218" t="s">
        <v>178</v>
      </c>
      <c r="L118" s="43"/>
    </row>
    <row r="119" spans="1:12" s="35" customFormat="1" ht="26.25" customHeight="1" x14ac:dyDescent="0.2">
      <c r="A119" s="217" t="s">
        <v>179</v>
      </c>
      <c r="B119" s="246" t="s">
        <v>180</v>
      </c>
      <c r="C119" s="246"/>
      <c r="D119" s="246"/>
      <c r="E119" s="246"/>
      <c r="F119" s="246"/>
      <c r="G119" s="246"/>
      <c r="H119" s="247"/>
      <c r="I119" s="20"/>
      <c r="J119" s="148"/>
      <c r="K119" s="218" t="s">
        <v>181</v>
      </c>
      <c r="L119" s="43"/>
    </row>
    <row r="120" spans="1:12" s="35" customFormat="1" ht="26.25" customHeight="1" x14ac:dyDescent="0.2">
      <c r="A120" s="217" t="s">
        <v>182</v>
      </c>
      <c r="B120" s="246" t="s">
        <v>183</v>
      </c>
      <c r="C120" s="246"/>
      <c r="D120" s="246"/>
      <c r="E120" s="246"/>
      <c r="F120" s="246"/>
      <c r="G120" s="246"/>
      <c r="H120" s="247"/>
      <c r="I120" s="20"/>
      <c r="J120" s="148"/>
      <c r="K120" s="218" t="s">
        <v>184</v>
      </c>
      <c r="L120" s="43"/>
    </row>
    <row r="121" spans="1:12" s="35" customFormat="1" ht="26.25" customHeight="1" x14ac:dyDescent="0.2">
      <c r="A121" s="217" t="s">
        <v>185</v>
      </c>
      <c r="B121" s="246" t="s">
        <v>186</v>
      </c>
      <c r="C121" s="246"/>
      <c r="D121" s="246"/>
      <c r="E121" s="246"/>
      <c r="F121" s="246"/>
      <c r="G121" s="246"/>
      <c r="H121" s="247"/>
      <c r="I121" s="20"/>
      <c r="J121" s="148"/>
      <c r="K121" s="218" t="s">
        <v>187</v>
      </c>
      <c r="L121" s="43"/>
    </row>
    <row r="122" spans="1:12" s="35" customFormat="1" ht="15" customHeight="1" x14ac:dyDescent="0.2">
      <c r="A122" s="217" t="s">
        <v>188</v>
      </c>
      <c r="B122" s="246" t="s">
        <v>189</v>
      </c>
      <c r="C122" s="246"/>
      <c r="D122" s="246"/>
      <c r="E122" s="246"/>
      <c r="F122" s="246"/>
      <c r="G122" s="246"/>
      <c r="H122" s="247"/>
      <c r="I122" s="20"/>
      <c r="J122" s="148"/>
      <c r="K122" s="218" t="s">
        <v>190</v>
      </c>
      <c r="L122" s="43"/>
    </row>
    <row r="123" spans="1:12" s="35" customFormat="1" ht="15" customHeight="1" x14ac:dyDescent="0.2">
      <c r="A123" s="217" t="s">
        <v>191</v>
      </c>
      <c r="B123" s="246" t="s">
        <v>192</v>
      </c>
      <c r="C123" s="246"/>
      <c r="D123" s="246"/>
      <c r="E123" s="246"/>
      <c r="F123" s="246"/>
      <c r="G123" s="246"/>
      <c r="H123" s="247"/>
      <c r="I123" s="20"/>
      <c r="J123" s="148"/>
      <c r="K123" s="218" t="s">
        <v>193</v>
      </c>
      <c r="L123" s="43"/>
    </row>
    <row r="124" spans="1:12" s="35" customFormat="1" ht="25.5" customHeight="1" x14ac:dyDescent="0.2">
      <c r="A124" s="219"/>
      <c r="B124" s="248" t="s">
        <v>194</v>
      </c>
      <c r="C124" s="248"/>
      <c r="D124" s="248"/>
      <c r="E124" s="248"/>
      <c r="F124" s="248"/>
      <c r="G124" s="248"/>
      <c r="H124" s="249"/>
      <c r="J124" s="148"/>
    </row>
    <row r="125" spans="1:12" s="35" customFormat="1" ht="15" customHeight="1" thickBot="1" x14ac:dyDescent="0.25">
      <c r="A125" s="220"/>
      <c r="B125" s="243" t="s">
        <v>195</v>
      </c>
      <c r="C125" s="243"/>
      <c r="D125" s="243"/>
      <c r="E125" s="243"/>
      <c r="F125" s="243"/>
      <c r="G125" s="243"/>
      <c r="H125" s="221"/>
      <c r="J125" s="148"/>
    </row>
    <row r="126" spans="1:12" s="35" customFormat="1" ht="15" customHeight="1" thickBot="1" x14ac:dyDescent="0.25">
      <c r="A126" s="222"/>
      <c r="B126" s="223"/>
      <c r="C126" s="223"/>
      <c r="D126" s="223"/>
      <c r="E126" s="223"/>
      <c r="F126" s="223"/>
      <c r="G126" s="223"/>
      <c r="J126" s="148"/>
    </row>
    <row r="127" spans="1:12" s="35" customFormat="1" ht="15" customHeight="1" x14ac:dyDescent="0.25">
      <c r="A127" s="213" t="s">
        <v>172</v>
      </c>
      <c r="B127" s="224"/>
      <c r="C127" s="224"/>
      <c r="D127" s="224"/>
      <c r="E127" s="224"/>
      <c r="F127" s="224"/>
      <c r="G127" s="244" t="s">
        <v>196</v>
      </c>
      <c r="H127" s="245"/>
      <c r="J127" s="148"/>
    </row>
    <row r="128" spans="1:12" ht="15" customHeight="1" x14ac:dyDescent="0.25">
      <c r="A128" s="216" t="s">
        <v>197</v>
      </c>
      <c r="F128" s="225"/>
      <c r="G128" s="45"/>
      <c r="H128" s="88"/>
      <c r="J128" s="148"/>
    </row>
    <row r="129" spans="1:10" ht="15" customHeight="1" x14ac:dyDescent="0.25">
      <c r="A129" s="216" t="s">
        <v>198</v>
      </c>
      <c r="F129" s="225"/>
      <c r="G129" s="45"/>
      <c r="H129" s="88"/>
      <c r="J129" s="148"/>
    </row>
    <row r="130" spans="1:10" ht="15" customHeight="1" x14ac:dyDescent="0.25">
      <c r="A130" s="18"/>
      <c r="B130" s="35" t="s">
        <v>199</v>
      </c>
      <c r="D130" s="35" t="s">
        <v>200</v>
      </c>
      <c r="F130" s="225"/>
      <c r="G130" s="45"/>
      <c r="H130" s="88"/>
      <c r="J130" s="148"/>
    </row>
    <row r="131" spans="1:10" ht="15" customHeight="1" x14ac:dyDescent="0.25">
      <c r="A131" s="18"/>
      <c r="B131" s="35" t="s">
        <v>201</v>
      </c>
      <c r="D131" s="35" t="s">
        <v>202</v>
      </c>
      <c r="F131" s="225"/>
      <c r="G131" s="45"/>
      <c r="H131" s="88"/>
      <c r="J131" s="148"/>
    </row>
    <row r="132" spans="1:10" ht="15" customHeight="1" x14ac:dyDescent="0.25">
      <c r="A132" s="18"/>
      <c r="B132" s="35" t="s">
        <v>203</v>
      </c>
      <c r="D132" s="35" t="s">
        <v>204</v>
      </c>
      <c r="F132" s="225"/>
      <c r="G132" s="45"/>
      <c r="H132" s="88"/>
      <c r="J132" s="148"/>
    </row>
    <row r="133" spans="1:10" ht="15" customHeight="1" x14ac:dyDescent="0.25">
      <c r="A133" s="18"/>
      <c r="B133" s="19" t="s">
        <v>205</v>
      </c>
      <c r="D133" s="35" t="s">
        <v>206</v>
      </c>
      <c r="F133" s="225"/>
      <c r="G133" s="45"/>
      <c r="H133" s="88"/>
      <c r="J133" s="148"/>
    </row>
    <row r="134" spans="1:10" ht="15" customHeight="1" x14ac:dyDescent="0.25">
      <c r="A134" s="18"/>
      <c r="B134" s="35" t="s">
        <v>207</v>
      </c>
      <c r="D134" s="35" t="s">
        <v>208</v>
      </c>
      <c r="F134" s="225"/>
      <c r="G134" s="45"/>
      <c r="H134" s="88"/>
      <c r="J134" s="148"/>
    </row>
    <row r="135" spans="1:10" ht="15" customHeight="1" x14ac:dyDescent="0.25">
      <c r="A135" s="18"/>
      <c r="B135" s="35" t="s">
        <v>209</v>
      </c>
      <c r="D135" s="35" t="s">
        <v>210</v>
      </c>
      <c r="F135" s="225"/>
      <c r="G135" s="45"/>
      <c r="H135" s="88"/>
      <c r="J135" s="8"/>
    </row>
    <row r="136" spans="1:10" ht="15" customHeight="1" x14ac:dyDescent="0.25">
      <c r="A136" s="18"/>
      <c r="B136" s="19" t="s">
        <v>211</v>
      </c>
      <c r="D136" s="35" t="s">
        <v>212</v>
      </c>
      <c r="F136" s="225"/>
      <c r="G136" s="45"/>
      <c r="H136" s="88"/>
      <c r="J136" s="8"/>
    </row>
    <row r="137" spans="1:10" ht="15" customHeight="1" thickBot="1" x14ac:dyDescent="0.3">
      <c r="A137" s="226"/>
      <c r="B137" s="227" t="s">
        <v>213</v>
      </c>
      <c r="C137" s="202"/>
      <c r="D137" s="227" t="s">
        <v>214</v>
      </c>
      <c r="E137" s="202"/>
      <c r="F137" s="202"/>
      <c r="G137" s="202"/>
      <c r="H137" s="228"/>
      <c r="J137" s="8"/>
    </row>
    <row r="138" spans="1:10" ht="15" customHeight="1" thickBot="1" x14ac:dyDescent="0.3">
      <c r="J138" s="8"/>
    </row>
    <row r="139" spans="1:10" ht="15" customHeight="1" x14ac:dyDescent="0.25">
      <c r="B139" s="229" t="s">
        <v>215</v>
      </c>
      <c r="C139" s="230"/>
      <c r="D139" s="231"/>
      <c r="E139" s="232" t="s">
        <v>216</v>
      </c>
      <c r="F139" s="233"/>
      <c r="G139" s="232" t="s">
        <v>217</v>
      </c>
      <c r="H139" s="234"/>
      <c r="J139" s="8"/>
    </row>
    <row r="140" spans="1:10" ht="15" customHeight="1" x14ac:dyDescent="0.25">
      <c r="B140" s="235" t="s">
        <v>11</v>
      </c>
      <c r="C140" s="164"/>
      <c r="D140" s="188"/>
      <c r="E140" s="70" t="s">
        <v>218</v>
      </c>
      <c r="G140" s="70" t="s">
        <v>219</v>
      </c>
      <c r="H140" s="88"/>
      <c r="J140" s="8"/>
    </row>
    <row r="141" spans="1:10" ht="15" customHeight="1" x14ac:dyDescent="0.25">
      <c r="B141" s="235" t="s">
        <v>220</v>
      </c>
      <c r="C141" s="164"/>
      <c r="D141" s="188"/>
      <c r="E141" s="70" t="s">
        <v>221</v>
      </c>
      <c r="G141" s="70" t="s">
        <v>222</v>
      </c>
      <c r="H141" s="88"/>
      <c r="J141" s="8"/>
    </row>
    <row r="142" spans="1:10" ht="15" customHeight="1" x14ac:dyDescent="0.25">
      <c r="B142" s="235" t="s">
        <v>22</v>
      </c>
      <c r="C142" s="164"/>
      <c r="D142" s="188"/>
      <c r="E142" s="70" t="s">
        <v>223</v>
      </c>
      <c r="H142" s="88"/>
      <c r="J142" s="8"/>
    </row>
    <row r="143" spans="1:10" ht="15" customHeight="1" x14ac:dyDescent="0.25">
      <c r="B143" s="235" t="s">
        <v>224</v>
      </c>
      <c r="C143" s="164"/>
      <c r="D143" s="188"/>
      <c r="E143" s="70" t="s">
        <v>225</v>
      </c>
      <c r="H143" s="88"/>
      <c r="J143" s="8"/>
    </row>
    <row r="144" spans="1:10" ht="15" customHeight="1" x14ac:dyDescent="0.25">
      <c r="B144" s="235" t="s">
        <v>226</v>
      </c>
      <c r="C144" s="164"/>
      <c r="D144" s="188"/>
      <c r="H144" s="88"/>
      <c r="J144" s="8"/>
    </row>
    <row r="145" spans="2:11" ht="15" customHeight="1" x14ac:dyDescent="0.25">
      <c r="B145" s="235" t="s">
        <v>227</v>
      </c>
      <c r="C145" s="164"/>
      <c r="D145" s="188"/>
      <c r="H145" s="88"/>
      <c r="J145" s="8"/>
    </row>
    <row r="146" spans="2:11" ht="15" customHeight="1" x14ac:dyDescent="0.25">
      <c r="B146" s="235" t="s">
        <v>228</v>
      </c>
      <c r="C146" s="164"/>
      <c r="D146" s="236">
        <f>SUM(C140:C146)</f>
        <v>0</v>
      </c>
      <c r="H146" s="88"/>
      <c r="J146" s="8"/>
    </row>
    <row r="147" spans="2:11" ht="15" customHeight="1" x14ac:dyDescent="0.25">
      <c r="B147" s="237" t="s">
        <v>229</v>
      </c>
      <c r="C147" s="164"/>
      <c r="E147" s="238"/>
      <c r="H147" s="88"/>
      <c r="J147" s="8"/>
    </row>
    <row r="148" spans="2:11" ht="15" customHeight="1" x14ac:dyDescent="0.25">
      <c r="B148" s="235" t="s">
        <v>230</v>
      </c>
      <c r="C148" s="239"/>
      <c r="H148" s="88"/>
      <c r="J148" s="8"/>
    </row>
    <row r="149" spans="2:11" ht="15" customHeight="1" x14ac:dyDescent="0.25">
      <c r="B149" s="235" t="s">
        <v>231</v>
      </c>
      <c r="C149" s="239"/>
      <c r="H149" s="88"/>
      <c r="J149" s="8"/>
    </row>
    <row r="150" spans="2:11" ht="15" customHeight="1" x14ac:dyDescent="0.25">
      <c r="B150" s="235" t="s">
        <v>232</v>
      </c>
      <c r="C150" s="239"/>
      <c r="D150" s="9">
        <f>SUM(C148:C150)</f>
        <v>0</v>
      </c>
      <c r="H150" s="88"/>
      <c r="J150" s="8"/>
    </row>
    <row r="151" spans="2:11" ht="15" customHeight="1" thickBot="1" x14ac:dyDescent="0.3">
      <c r="B151" s="240" t="s">
        <v>233</v>
      </c>
      <c r="C151" s="241"/>
      <c r="D151" s="242"/>
      <c r="E151" s="202"/>
      <c r="F151" s="202"/>
      <c r="G151" s="202"/>
      <c r="H151" s="228"/>
      <c r="J151" s="8"/>
    </row>
    <row r="152" spans="2:11" ht="15" customHeight="1" x14ac:dyDescent="0.25">
      <c r="D152" s="66">
        <f>D146+D150+D151</f>
        <v>0</v>
      </c>
      <c r="J152" s="8"/>
    </row>
    <row r="153" spans="2:11" ht="15" customHeight="1" x14ac:dyDescent="0.25">
      <c r="F153" s="167"/>
      <c r="G153" s="167"/>
      <c r="H153" s="167"/>
      <c r="I153" s="176"/>
      <c r="J153" s="148"/>
      <c r="K153" s="40">
        <f>H153*0.03</f>
        <v>0</v>
      </c>
    </row>
  </sheetData>
  <mergeCells count="32">
    <mergeCell ref="A50:I50"/>
    <mergeCell ref="A1:C1"/>
    <mergeCell ref="D1:H1"/>
    <mergeCell ref="J1:M1"/>
    <mergeCell ref="A2:C2"/>
    <mergeCell ref="F2:G2"/>
    <mergeCell ref="K25:L25"/>
    <mergeCell ref="K26:L26"/>
    <mergeCell ref="K27:L27"/>
    <mergeCell ref="K43:M43"/>
    <mergeCell ref="C46:D46"/>
    <mergeCell ref="C47:D47"/>
    <mergeCell ref="B118:H118"/>
    <mergeCell ref="A51:B51"/>
    <mergeCell ref="F51:I51"/>
    <mergeCell ref="E64:G64"/>
    <mergeCell ref="E72:G72"/>
    <mergeCell ref="E73:G73"/>
    <mergeCell ref="E74:G74"/>
    <mergeCell ref="E75:G75"/>
    <mergeCell ref="I84:J84"/>
    <mergeCell ref="I97:J97"/>
    <mergeCell ref="I107:J107"/>
    <mergeCell ref="G115:H115"/>
    <mergeCell ref="B125:G125"/>
    <mergeCell ref="G127:H127"/>
    <mergeCell ref="B119:H119"/>
    <mergeCell ref="B120:H120"/>
    <mergeCell ref="B121:H121"/>
    <mergeCell ref="B122:H122"/>
    <mergeCell ref="B123:H123"/>
    <mergeCell ref="B124:H124"/>
  </mergeCells>
  <conditionalFormatting sqref="F35">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2021-11-21T18:22:28Z</dcterms:created>
  <dcterms:modified xsi:type="dcterms:W3CDTF">2021-11-21T18:24:09Z</dcterms:modified>
</cp:coreProperties>
</file>